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3200" yWindow="3560" windowWidth="25600" windowHeight="18380" tabRatio="500"/>
  </bookViews>
  <sheets>
    <sheet name="Instructions" sheetId="1" r:id="rId1"/>
    <sheet name="Coring-Logging Time" sheetId="29" r:id="rId2"/>
    <sheet name="Transit Time" sheetId="3" r:id="rId3"/>
    <sheet name="Summary" sheetId="4" r:id="rId4"/>
  </sheets>
  <definedNames>
    <definedName name="\0" localSheetId="1">'Coring-Logging Time'!$M$140</definedName>
    <definedName name="\0">#REF!</definedName>
    <definedName name="\c" localSheetId="1">'Coring-Logging Time'!$M$84</definedName>
    <definedName name="\c">#REF!</definedName>
    <definedName name="\l" localSheetId="1">'Coring-Logging Time'!#REF!</definedName>
    <definedName name="\l">#REF!</definedName>
    <definedName name="\m" localSheetId="1">'Coring-Logging Time'!$M$134</definedName>
    <definedName name="\m">#REF!</definedName>
    <definedName name="\p" localSheetId="1">'Coring-Logging Time'!$M$130:$M$132</definedName>
    <definedName name="\p">#REF!</definedName>
    <definedName name="\s" localSheetId="1">'Coring-Logging Time'!$M$140</definedName>
    <definedName name="\s">#REF!</definedName>
    <definedName name="\t" localSheetId="1">'Coring-Logging Time'!$M$1</definedName>
    <definedName name="\t">#REF!</definedName>
    <definedName name="BEGIN" localSheetId="1">'Coring-Logging Time'!$M$137</definedName>
    <definedName name="BEGIN">#REF!</definedName>
    <definedName name="CORING_EVENT_MENU" localSheetId="1">#REF!</definedName>
    <definedName name="CORING_EVENT_MENU">#REF!</definedName>
    <definedName name="HELP" localSheetId="1">'Transit Time'!#REF!</definedName>
    <definedName name="HELP">'Transit Time'!#REF!</definedName>
    <definedName name="INPUT" localSheetId="1">'Coring-Logging Time'!$H$15</definedName>
    <definedName name="INPUT">#REF!</definedName>
    <definedName name="junk" localSheetId="1">#REF!</definedName>
    <definedName name="junk">#REF!</definedName>
    <definedName name="junk2" localSheetId="1">#REF!</definedName>
    <definedName name="junk2">#REF!</definedName>
    <definedName name="MAIN" localSheetId="1">'Coring-Logging Time'!$A$81</definedName>
    <definedName name="MAIN">#REF!</definedName>
    <definedName name="MAINMENU" localSheetId="1">'Coring-Logging Time'!$M$136</definedName>
    <definedName name="MAINMENU">#REF!</definedName>
    <definedName name="MENUA" localSheetId="1">'Coring-Logging Time'!$M$144</definedName>
    <definedName name="MENUA">#REF!</definedName>
    <definedName name="OUTPUT" localSheetId="1">'Coring-Logging Time'!$A$103</definedName>
    <definedName name="OUTPUT">#REF!</definedName>
    <definedName name="PRINT_" localSheetId="1">'Coring-Logging Time'!$M$145</definedName>
    <definedName name="PRINT_">#REF!</definedName>
    <definedName name="_xlnm.Print_Area" localSheetId="1">'Coring-Logging Time'!$A$1:$G$76</definedName>
    <definedName name="_xlnm.Print_Area" localSheetId="3">Summary!$A$1:$J$52</definedName>
    <definedName name="_xlnm.Print_Area" localSheetId="2">'Transit Time'!$A$1:$K$46</definedName>
    <definedName name="_xlnm.Print_Area">#REF!</definedName>
    <definedName name="Print_Area_MI" localSheetId="1">'Coring-Logging Time'!$A$1:$G$76</definedName>
    <definedName name="Print_Area_MI" localSheetId="2">'Transit Time'!$A$1:$J$23</definedName>
    <definedName name="PRINT_AREA_MI">#REF!</definedName>
    <definedName name="QUIT" localSheetId="1">'Coring-Logging Time'!$O$145</definedName>
    <definedName name="QUIT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4" l="1"/>
  <c r="E47" i="29"/>
  <c r="E34" i="29"/>
  <c r="H11" i="4"/>
  <c r="H12" i="4"/>
  <c r="I13" i="4"/>
  <c r="D69" i="29"/>
  <c r="C33" i="29"/>
  <c r="C17" i="29"/>
  <c r="C24" i="29"/>
  <c r="C38" i="29"/>
  <c r="C52" i="29"/>
  <c r="B70" i="29"/>
  <c r="C70" i="29"/>
  <c r="C62" i="29"/>
  <c r="B52" i="29"/>
  <c r="B24" i="29"/>
  <c r="B38" i="29"/>
  <c r="B17" i="29"/>
  <c r="D18" i="29"/>
  <c r="E18" i="29"/>
  <c r="C18" i="29"/>
  <c r="D19" i="29"/>
  <c r="C19" i="29"/>
  <c r="C20" i="29"/>
  <c r="C21" i="29"/>
  <c r="D22" i="29"/>
  <c r="E22" i="29"/>
  <c r="C22" i="29"/>
  <c r="D23" i="29"/>
  <c r="E23" i="29"/>
  <c r="C23" i="29"/>
  <c r="C26" i="29"/>
  <c r="B33" i="29"/>
  <c r="D34" i="29"/>
  <c r="C34" i="29"/>
  <c r="C35" i="29"/>
  <c r="D36" i="29"/>
  <c r="E36" i="29"/>
  <c r="C36" i="29"/>
  <c r="D37" i="29"/>
  <c r="E37" i="29"/>
  <c r="C37" i="29"/>
  <c r="C40" i="29"/>
  <c r="D47" i="29"/>
  <c r="C47" i="29"/>
  <c r="D48" i="29"/>
  <c r="E48" i="29"/>
  <c r="C48" i="29"/>
  <c r="D49" i="29"/>
  <c r="E49" i="29"/>
  <c r="C49" i="29"/>
  <c r="B61" i="29"/>
  <c r="C61" i="29"/>
  <c r="D63" i="29"/>
  <c r="E63" i="29"/>
  <c r="C63" i="29"/>
  <c r="D64" i="29"/>
  <c r="E64" i="29"/>
  <c r="C64" i="29"/>
  <c r="D65" i="29"/>
  <c r="E65" i="29"/>
  <c r="C65" i="29"/>
  <c r="D66" i="29"/>
  <c r="E66" i="29"/>
  <c r="C66" i="29"/>
  <c r="D67" i="29"/>
  <c r="E67" i="29"/>
  <c r="C67" i="29"/>
  <c r="C72" i="29"/>
  <c r="E72" i="29"/>
  <c r="E40" i="29"/>
  <c r="E26" i="29"/>
  <c r="G1" i="29"/>
  <c r="F1" i="29"/>
  <c r="E34" i="4"/>
  <c r="H43" i="1"/>
  <c r="G75" i="3"/>
  <c r="G76" i="3"/>
  <c r="H75" i="3"/>
  <c r="K75" i="3"/>
  <c r="J75" i="3"/>
  <c r="I75" i="3"/>
  <c r="G69" i="3"/>
  <c r="G70" i="3"/>
  <c r="H69" i="3"/>
  <c r="K69" i="3"/>
  <c r="J69" i="3"/>
  <c r="I69" i="3"/>
  <c r="G63" i="3"/>
  <c r="G64" i="3"/>
  <c r="H63" i="3"/>
  <c r="K63" i="3"/>
  <c r="J63" i="3"/>
  <c r="I63" i="3"/>
  <c r="G45" i="3"/>
  <c r="G46" i="3"/>
  <c r="H45" i="3"/>
  <c r="G51" i="3"/>
  <c r="G52" i="3"/>
  <c r="H51" i="3"/>
  <c r="J21" i="3"/>
  <c r="J27" i="3"/>
  <c r="G33" i="3"/>
  <c r="G34" i="3"/>
  <c r="H33" i="3"/>
  <c r="J33" i="3"/>
  <c r="G39" i="3"/>
  <c r="G40" i="3"/>
  <c r="H39" i="3"/>
  <c r="J39" i="3"/>
  <c r="J45" i="3"/>
  <c r="J51" i="3"/>
  <c r="K21" i="3"/>
  <c r="K27" i="3"/>
  <c r="K33" i="3"/>
  <c r="K39" i="3"/>
  <c r="K45" i="3"/>
  <c r="K51" i="3"/>
  <c r="I51" i="3"/>
  <c r="G27" i="3"/>
  <c r="G28" i="3"/>
  <c r="D27" i="3"/>
  <c r="D28" i="3"/>
  <c r="H27" i="3"/>
  <c r="H8" i="4"/>
  <c r="H9" i="4"/>
  <c r="H10" i="4"/>
  <c r="F34" i="4"/>
  <c r="G34" i="4"/>
  <c r="H34" i="4"/>
  <c r="D21" i="3"/>
  <c r="G21" i="3"/>
  <c r="G22" i="3"/>
  <c r="D22" i="3"/>
  <c r="H21" i="3"/>
  <c r="I21" i="3"/>
  <c r="I27" i="3"/>
  <c r="I33" i="3"/>
  <c r="I39" i="3"/>
  <c r="I45" i="3"/>
  <c r="G57" i="3"/>
  <c r="G58" i="3"/>
  <c r="H57" i="3"/>
  <c r="I57" i="3"/>
  <c r="J57" i="3"/>
  <c r="K57" i="3"/>
  <c r="C54" i="29"/>
  <c r="E54" i="29"/>
  <c r="C74" i="29"/>
  <c r="E74" i="29"/>
</calcChain>
</file>

<file path=xl/sharedStrings.xml><?xml version="1.0" encoding="utf-8"?>
<sst xmlns="http://schemas.openxmlformats.org/spreadsheetml/2006/main" count="397" uniqueCount="149">
  <si>
    <t>(m)</t>
  </si>
  <si>
    <t>(mbsf)</t>
  </si>
  <si>
    <t>(days)</t>
  </si>
  <si>
    <t>Est  Time=</t>
  </si>
  <si>
    <t>Available  Time =</t>
  </si>
  <si>
    <t>ALTERNATE  SITES</t>
  </si>
  <si>
    <t xml:space="preserve">     CORING  TIME  ESTIMATES</t>
  </si>
  <si>
    <t xml:space="preserve"> Yellow cells are for data entry</t>
  </si>
  <si>
    <t xml:space="preserve"> Blue cells are calculated answers based on embedded formulas.</t>
  </si>
  <si>
    <t>1) Default values can be changed.  Enter "0" to cancel operation.</t>
  </si>
  <si>
    <t>2) Choose from the several common coring scenarios listed.</t>
  </si>
  <si>
    <t>3) Refer to the guidelines below for common coring performance ranges.</t>
  </si>
  <si>
    <t>SITE:</t>
  </si>
  <si>
    <t>WATER DEPTH:</t>
  </si>
  <si>
    <t>Meters</t>
  </si>
  <si>
    <t>APC/XCB CORE 3 HOLES, NO LOGS</t>
  </si>
  <si>
    <t>Hole A</t>
  </si>
  <si>
    <t>ACTION</t>
  </si>
  <si>
    <t>PENETRATION</t>
  </si>
  <si>
    <t>TIME</t>
  </si>
  <si>
    <t>CORES</t>
  </si>
  <si>
    <t>TIME/RT</t>
  </si>
  <si>
    <t>PEN RATE</t>
  </si>
  <si>
    <t>(meters)</t>
  </si>
  <si>
    <t>(hours)</t>
  </si>
  <si>
    <t>(number)</t>
  </si>
  <si>
    <t>(meter/hr)</t>
  </si>
  <si>
    <t>Survey &amp; Loc Site:</t>
  </si>
  <si>
    <t>Trip In:</t>
  </si>
  <si>
    <t>APC To:</t>
  </si>
  <si>
    <t>Orient:</t>
  </si>
  <si>
    <t>Zone 1, XCB To:</t>
  </si>
  <si>
    <t>Zone 2, XCB To:</t>
  </si>
  <si>
    <t>Pull up to Sea Floor:</t>
  </si>
  <si>
    <t>-----------</t>
  </si>
  <si>
    <t>Hole A=</t>
  </si>
  <si>
    <t>Hours=</t>
  </si>
  <si>
    <t>Days</t>
  </si>
  <si>
    <t>Hole B</t>
  </si>
  <si>
    <t>Move &amp; Spaceout:</t>
  </si>
  <si>
    <t>----------</t>
  </si>
  <si>
    <t>Hole B=</t>
  </si>
  <si>
    <t>Hole C</t>
  </si>
  <si>
    <t>Treat Hole:</t>
  </si>
  <si>
    <t>Logging:</t>
  </si>
  <si>
    <t>Trip out to Ship:</t>
  </si>
  <si>
    <t>Hole C=</t>
  </si>
  <si>
    <t>DRILL TO APC/XCB REFUSAL, RCB CORE &amp; LOG</t>
  </si>
  <si>
    <t>Hole D</t>
  </si>
  <si>
    <t>Drill To:</t>
  </si>
  <si>
    <t>Zone 1, RCB To:</t>
  </si>
  <si>
    <t>Zone 2, RCB To:</t>
  </si>
  <si>
    <t>Zone 3, RCB To:</t>
  </si>
  <si>
    <t>Zone 4, RCB To:</t>
  </si>
  <si>
    <t>Trip for Bit:</t>
  </si>
  <si>
    <t>Treat Hole,Drop Bit:</t>
  </si>
  <si>
    <t>Trip Out to Ship:</t>
  </si>
  <si>
    <t>-</t>
  </si>
  <si>
    <t>Hole D=</t>
  </si>
  <si>
    <t>GREAT CIRCLE DISTANCE</t>
  </si>
  <si>
    <t>PROPOSAL</t>
  </si>
  <si>
    <t>2) Enter latitude and longitude (format may be degrees or decimals).</t>
  </si>
  <si>
    <t xml:space="preserve">     North and West are positive values. </t>
  </si>
  <si>
    <t xml:space="preserve">     South and East are negative values (both degrees and minutes are negative).</t>
  </si>
  <si>
    <t xml:space="preserve">3) Data can be copied to a lower cell. </t>
  </si>
  <si>
    <t>Travel Time between coordinate points is based on a speed of:</t>
  </si>
  <si>
    <t>&gt;&gt;&gt;&gt;&gt;</t>
  </si>
  <si>
    <t>KNOTS = nmi/hr  &lt;&lt;&lt;&lt;&lt;</t>
  </si>
  <si>
    <t>INITIAL POINT</t>
  </si>
  <si>
    <t>FINAL POINT</t>
  </si>
  <si>
    <t xml:space="preserve"> MILES</t>
  </si>
  <si>
    <t>[deg.]</t>
  </si>
  <si>
    <t>[min.]</t>
  </si>
  <si>
    <t xml:space="preserve"> [nmi]</t>
  </si>
  <si>
    <t>[hours]</t>
  </si>
  <si>
    <t>[days]</t>
  </si>
  <si>
    <t>LAT</t>
  </si>
  <si>
    <t>LONG</t>
  </si>
  <si>
    <t>Water</t>
  </si>
  <si>
    <t>Transit</t>
  </si>
  <si>
    <t xml:space="preserve">Coring </t>
  </si>
  <si>
    <t>Log</t>
  </si>
  <si>
    <t>Total</t>
  </si>
  <si>
    <t>Site</t>
  </si>
  <si>
    <t>Latitude N</t>
  </si>
  <si>
    <t xml:space="preserve"> Depth</t>
  </si>
  <si>
    <t>Operations</t>
  </si>
  <si>
    <t>10.5 kt</t>
  </si>
  <si>
    <t xml:space="preserve">Time  </t>
  </si>
  <si>
    <t>Name</t>
  </si>
  <si>
    <t>Longitude W</t>
  </si>
  <si>
    <t xml:space="preserve"> CORING TIME ESTIMATOR</t>
  </si>
  <si>
    <t xml:space="preserve"> </t>
  </si>
  <si>
    <t xml:space="preserve"> Yellow cells are for data entry.</t>
  </si>
  <si>
    <t xml:space="preserve"> Blue cells are calculated answers based on the embedded formulas.</t>
  </si>
  <si>
    <t>Default numbers are provided for convenience and can be changed as required.</t>
  </si>
  <si>
    <t xml:space="preserve">     a) It is advisable to enter "0" in unwanted activities initially (rather than erase them) due to embedded</t>
  </si>
  <si>
    <t xml:space="preserve">         formulas. </t>
  </si>
  <si>
    <t xml:space="preserve">     a) Hard layers, nodules, or sand can stop APC penetration. </t>
  </si>
  <si>
    <t xml:space="preserve">     b) APC cores are generally oriented (for paleomagnetic studies) after the third core (0.17 hours/run).</t>
  </si>
  <si>
    <t xml:space="preserve">     e) The XCB usually can penetrate pillow basalts to a depth of 20 to 30 meters if required.</t>
  </si>
  <si>
    <t xml:space="preserve">     b) The RCB system can core the hardest rocks and several types of bits are available.</t>
  </si>
  <si>
    <t xml:space="preserve">     c) The rate of penetration in hard sediments is typically 20 to 9 meters/hour depending on the formation.</t>
  </si>
  <si>
    <t>JOIDES RESOLUTION SCIENCE OPERATOR</t>
  </si>
  <si>
    <r>
      <rPr>
        <sz val="10"/>
        <rFont val="Arial"/>
      </rPr>
      <t>SET</t>
    </r>
    <r>
      <rPr>
        <sz val="10"/>
        <rFont val="Arial"/>
      </rPr>
      <t>:</t>
    </r>
  </si>
  <si>
    <t xml:space="preserve">         which takes 4.7 m cores requiring twice the wireline time as the standard APC</t>
  </si>
  <si>
    <t xml:space="preserve">     e) APC coring refusal is defined when the APC cannot penetrate the formation or cannot be pulled from the formation.</t>
  </si>
  <si>
    <t xml:space="preserve">         APC coring depth can be extended beyond APC refusal, if desired, by drilling over stuck core barrels or switching to the half-length APC,  (HLAPC).</t>
  </si>
  <si>
    <t>2-Full</t>
  </si>
  <si>
    <t>Walvis Ridge</t>
  </si>
  <si>
    <t>Cape Town</t>
  </si>
  <si>
    <t>EXPEDITION</t>
  </si>
  <si>
    <t>Expediton XXX, Port Call in Cape Town</t>
  </si>
  <si>
    <t>32.64889°S</t>
  </si>
  <si>
    <t>0.05707°E</t>
  </si>
  <si>
    <t>(8)  Logs typically require about 18 hours for 600 meter holes, 24 hours for 1000 meter holes, and 36 hours</t>
  </si>
  <si>
    <t>The JRSO Coring Time Estimator is provided to assist prospective ocean drilling proponents in estimating the time required to complete various common coring options. This is a gross time estimator, and we advise contacting the JRSO Operations Support section for more complex operations (http://iodp.tamu.edu/staffdir/tamu_sciops.html#op)</t>
  </si>
  <si>
    <t xml:space="preserve"> The "Coring Time" worksheet provides a method to calculate coring times.  There are now 3 example Coring Time worksheets to illustrate the caculations for a single RCB hole, for 2 holes with APC/XCB + RCB, and for three holes with APC/XCB in two and RCB coring in the third.</t>
  </si>
  <si>
    <t xml:space="preserve"> The "Summary" worksheet can be used to manually combine transit and site times into an expedition time estimate.</t>
  </si>
  <si>
    <t>(2) The worksheets are color coded:</t>
  </si>
  <si>
    <t xml:space="preserve">(4) The "Coring Time" work sheet has a typical 3 hole site in sediments followed by a typical hard rock penetration. </t>
  </si>
  <si>
    <t xml:space="preserve">     d) Sediment temperature measurements may be taken as requested using the SET tool when the APCT3 cannot be used (1-1.5 hours/run).</t>
  </si>
  <si>
    <t xml:space="preserve">     a) The APC and XCB systems use the same bottom hole assembly (BHA); therefore, no pipe trip is required. </t>
  </si>
  <si>
    <t>for holes deeper than 1500 meters. Check shot surveys (VSI tool) are only conducted during dailight hours and thus are typically 12 hrs maximum.</t>
  </si>
  <si>
    <t>(1) The worksheet provides a simple method for estimating gross drilling times and transit times for general planning purposes.</t>
  </si>
  <si>
    <t xml:space="preserve"> The "Transit Time" worksheet provides a method to calculate great circle distances and transit times. However, Google Earth may be a more effective method to plan and estimate transit routing using the Ruler Tool. Assume a transit speed for the JR of 10.5 nautical miles/hour.</t>
  </si>
  <si>
    <t>(3) A typical IODP riserless expedition generally has a 5 day port call and 56 days of operations (transit and on site operations)</t>
  </si>
  <si>
    <t xml:space="preserve">     c) Formation temperature measurements using the APTC3 (in APC cutting shoe) are usually taken (to establish a geothermal gradient for hydrocarbon safety purposes) on the fourth core and every third core thereafter (0.3 hours/run) for a minimum of 3 measurements</t>
  </si>
  <si>
    <t xml:space="preserve">(5) The Advanced Piston Corer (APC) is used in soft to firm sediments and generally penetrates to a depth of about 200 to 300 meters: </t>
  </si>
  <si>
    <t>(6) The Extended Core Barrel (XCB) is run after APC refusal is reached to core in firm to hard sediments, hard layers, nodules, sand, and mixed hard/soft intervals to a depth of 400 to 800 meters.</t>
  </si>
  <si>
    <t xml:space="preserve">     b) The XCB coring system requires both wireline time and rotating time to cut the core</t>
  </si>
  <si>
    <t xml:space="preserve">     c) The rotating time with the XCB shoe typically has a penetration rate that decreases from 30 to 12 meters/hour as the formations become harder with depth.</t>
  </si>
  <si>
    <t xml:space="preserve">     d) XCB coring is terminated when the rate of penetration slows to unacceptable rates or cutting shoes are being damaged.</t>
  </si>
  <si>
    <t>(7) The Rotary Core Barrel (RCB) system is used to core in lithified sedimentary rock and basement rocks.</t>
  </si>
  <si>
    <t xml:space="preserve">     a) After APC/XCB coring operations are concluded, a pipe trip is required to change the BHA.</t>
  </si>
  <si>
    <t xml:space="preserve">     d) The rate of penetration in basalts is typically 2.0-4.5 meters/hour </t>
  </si>
  <si>
    <t>(9) Reentry cones and casing may be required in unstable formations or for long term observatories or for penetrations deeper than ~1300 meters in sediments (200 meters in basement). Please contact the Operations Support section for assistance.</t>
  </si>
  <si>
    <r>
      <t>S</t>
    </r>
    <r>
      <rPr>
        <b/>
        <sz val="10"/>
        <rFont val="Arial"/>
      </rPr>
      <t>ite</t>
    </r>
    <r>
      <rPr>
        <b/>
        <sz val="10"/>
        <rFont val="Arial"/>
      </rPr>
      <t xml:space="preserve"> (Holes A-D)=</t>
    </r>
  </si>
  <si>
    <t>XXYYZZ</t>
  </si>
  <si>
    <t>AABB-1A</t>
  </si>
  <si>
    <t>1) Enter ship speed (default value is 10.5 knots for transits).</t>
  </si>
  <si>
    <t>CCDD-2B</t>
  </si>
  <si>
    <t>Transit from Cape Town to Site AABB-1A:</t>
  </si>
  <si>
    <t>Transit from last site to end port</t>
  </si>
  <si>
    <t>Hole A: APC to 250 mbsf</t>
  </si>
  <si>
    <t>Hole B: APC to 250 mbsf</t>
  </si>
  <si>
    <t>Hole C: APC to 250 mbsf, XCB to refusal</t>
  </si>
  <si>
    <t>Hole D: Drill without coring to XCB depth, RCB to 1100 m, Log w/ Triple Combo, FMS-sonic</t>
  </si>
  <si>
    <r>
      <rPr>
        <sz val="10"/>
        <rFont val="Arial"/>
      </rPr>
      <t>APCT3</t>
    </r>
    <r>
      <rPr>
        <sz val="10"/>
        <rFont val="Arial"/>
      </rPr>
      <t xml:space="preserve"> Heat flow: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</si>
</sst>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General_)"/>
    <numFmt numFmtId="165" formatCode="dd\-mmm\-yy_)"/>
    <numFmt numFmtId="166" formatCode="hh:mm\ AM/PM_)"/>
    <numFmt numFmtId="167" formatCode="0.0_)"/>
    <numFmt numFmtId="168" formatCode="0_)"/>
    <numFmt numFmtId="169" formatCode="0.000"/>
    <numFmt numFmtId="170" formatCode="0.0"/>
    <numFmt numFmtId="171" formatCode="0.00_)"/>
  </numFmts>
  <fonts count="21" x14ac:knownFonts="1">
    <font>
      <sz val="10"/>
      <name val="Courier"/>
    </font>
    <font>
      <b/>
      <sz val="10"/>
      <name val="Arial"/>
    </font>
    <font>
      <sz val="10"/>
      <name val="Arial"/>
    </font>
    <font>
      <sz val="10"/>
      <name val="MS Sans Serif"/>
    </font>
    <font>
      <b/>
      <sz val="10"/>
      <name val="Courier"/>
    </font>
    <font>
      <sz val="10"/>
      <name val="Arial"/>
    </font>
    <font>
      <b/>
      <sz val="10"/>
      <name val="Arial"/>
    </font>
    <font>
      <b/>
      <i/>
      <sz val="12"/>
      <name val="Courier"/>
    </font>
    <font>
      <b/>
      <sz val="12"/>
      <name val="Arial"/>
      <family val="2"/>
    </font>
    <font>
      <sz val="12"/>
      <name val="Arial"/>
      <family val="2"/>
    </font>
    <font>
      <b/>
      <sz val="14"/>
      <name val="MS Sans Serif"/>
    </font>
    <font>
      <b/>
      <i/>
      <sz val="10"/>
      <name val="MS Sans Serif"/>
    </font>
    <font>
      <b/>
      <i/>
      <u/>
      <sz val="10"/>
      <name val="MS Sans Serif"/>
      <family val="2"/>
    </font>
    <font>
      <b/>
      <sz val="14"/>
      <name val="Arial"/>
      <family val="2"/>
    </font>
    <font>
      <sz val="10"/>
      <name val="Courier"/>
    </font>
    <font>
      <b/>
      <sz val="10"/>
      <name val="MS Sans Serif"/>
    </font>
    <font>
      <u/>
      <sz val="10"/>
      <color theme="10"/>
      <name val="Courier"/>
    </font>
    <font>
      <u/>
      <sz val="10"/>
      <color theme="11"/>
      <name val="Courier"/>
    </font>
    <font>
      <sz val="11"/>
      <name val="Arial"/>
    </font>
    <font>
      <b/>
      <sz val="11"/>
      <name val="Arial"/>
    </font>
    <font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mediumGray">
        <fgColor indexed="9"/>
        <bgColor indexed="41"/>
      </patternFill>
    </fill>
    <fill>
      <patternFill patternType="mediumGray">
        <fgColor indexed="9"/>
        <bgColor indexed="26"/>
      </patternFill>
    </fill>
    <fill>
      <patternFill patternType="lightGray">
        <fgColor indexed="11"/>
      </patternFill>
    </fill>
    <fill>
      <patternFill patternType="gray125">
        <fgColor indexed="15"/>
      </patternFill>
    </fill>
    <fill>
      <patternFill patternType="darkGray">
        <fgColor indexed="9"/>
        <bgColor indexed="43"/>
      </patternFill>
    </fill>
    <fill>
      <patternFill patternType="lightGray">
        <fgColor indexed="9"/>
        <bgColor indexed="45"/>
      </patternFill>
    </fill>
    <fill>
      <patternFill patternType="solid">
        <fgColor indexed="26"/>
        <bgColor indexed="64"/>
      </patternFill>
    </fill>
    <fill>
      <patternFill patternType="gray125">
        <fgColor indexed="9"/>
        <bgColor indexed="26"/>
      </patternFill>
    </fill>
    <fill>
      <patternFill patternType="darkGray">
        <fgColor indexed="9"/>
        <bgColor indexed="10"/>
      </patternFill>
    </fill>
    <fill>
      <patternFill patternType="darkGray">
        <fgColor indexed="9"/>
        <bgColor indexed="11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169">
    <xf numFmtId="164" fontId="0" fillId="0" borderId="0"/>
    <xf numFmtId="0" fontId="3" fillId="0" borderId="0"/>
    <xf numFmtId="164" fontId="4" fillId="2" borderId="1">
      <alignment horizontal="left"/>
    </xf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</cellStyleXfs>
  <cellXfs count="204">
    <xf numFmtId="164" fontId="0" fillId="0" borderId="0" xfId="0"/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164" fontId="0" fillId="0" borderId="0" xfId="0" applyNumberFormat="1" applyAlignment="1" applyProtection="1">
      <alignment horizontal="fill"/>
    </xf>
    <xf numFmtId="167" fontId="0" fillId="0" borderId="0" xfId="0" applyNumberFormat="1" applyProtection="1"/>
    <xf numFmtId="164" fontId="5" fillId="0" borderId="0" xfId="0" applyFont="1"/>
    <xf numFmtId="164" fontId="5" fillId="0" borderId="0" xfId="0" applyNumberFormat="1" applyFont="1" applyAlignment="1" applyProtection="1">
      <alignment horizontal="right"/>
    </xf>
    <xf numFmtId="164" fontId="5" fillId="0" borderId="0" xfId="0" applyNumberFormat="1" applyFont="1" applyAlignment="1" applyProtection="1">
      <alignment horizontal="left"/>
    </xf>
    <xf numFmtId="165" fontId="5" fillId="0" borderId="0" xfId="0" applyNumberFormat="1" applyFont="1" applyProtection="1"/>
    <xf numFmtId="164" fontId="5" fillId="0" borderId="0" xfId="0" quotePrefix="1" applyNumberFormat="1" applyFont="1" applyAlignment="1" applyProtection="1">
      <alignment horizontal="left"/>
    </xf>
    <xf numFmtId="166" fontId="5" fillId="0" borderId="0" xfId="0" applyNumberFormat="1" applyFont="1" applyProtection="1"/>
    <xf numFmtId="164" fontId="5" fillId="0" borderId="0" xfId="0" quotePrefix="1" applyNumberFormat="1" applyFont="1" applyAlignment="1" applyProtection="1">
      <alignment horizontal="right"/>
    </xf>
    <xf numFmtId="164" fontId="5" fillId="0" borderId="0" xfId="0" applyNumberFormat="1" applyFont="1" applyProtection="1"/>
    <xf numFmtId="164" fontId="5" fillId="0" borderId="0" xfId="0" applyFont="1" applyAlignment="1">
      <alignment horizontal="center"/>
    </xf>
    <xf numFmtId="167" fontId="5" fillId="0" borderId="0" xfId="0" applyNumberFormat="1" applyFont="1" applyProtection="1"/>
    <xf numFmtId="168" fontId="5" fillId="0" borderId="0" xfId="0" applyNumberFormat="1" applyFont="1" applyProtection="1"/>
    <xf numFmtId="164" fontId="5" fillId="0" borderId="0" xfId="0" quotePrefix="1" applyFont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Border="1" applyProtection="1"/>
    <xf numFmtId="168" fontId="5" fillId="0" borderId="0" xfId="0" applyNumberFormat="1" applyFont="1" applyAlignment="1" applyProtection="1">
      <alignment horizontal="left"/>
    </xf>
    <xf numFmtId="167" fontId="5" fillId="0" borderId="0" xfId="0" applyNumberFormat="1" applyFont="1" applyAlignment="1" applyProtection="1">
      <alignment horizontal="fill"/>
    </xf>
    <xf numFmtId="164" fontId="6" fillId="0" borderId="0" xfId="0" quotePrefix="1" applyNumberFormat="1" applyFont="1" applyAlignment="1" applyProtection="1">
      <alignment horizontal="left"/>
    </xf>
    <xf numFmtId="164" fontId="6" fillId="0" borderId="0" xfId="0" applyFont="1"/>
    <xf numFmtId="164" fontId="1" fillId="0" borderId="0" xfId="0" applyNumberFormat="1" applyFont="1" applyAlignment="1" applyProtection="1">
      <alignment horizontal="right"/>
    </xf>
    <xf numFmtId="164" fontId="1" fillId="0" borderId="0" xfId="0" quotePrefix="1" applyNumberFormat="1" applyFont="1" applyAlignment="1" applyProtection="1">
      <alignment horizontal="right"/>
    </xf>
    <xf numFmtId="164" fontId="1" fillId="0" borderId="0" xfId="0" applyNumberFormat="1" applyFont="1" applyAlignment="1" applyProtection="1">
      <alignment horizontal="left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Font="1" applyBorder="1"/>
    <xf numFmtId="164" fontId="5" fillId="0" borderId="2" xfId="0" applyFont="1" applyBorder="1"/>
    <xf numFmtId="164" fontId="5" fillId="0" borderId="3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left"/>
    </xf>
    <xf numFmtId="168" fontId="5" fillId="3" borderId="1" xfId="0" applyNumberFormat="1" applyFont="1" applyFill="1" applyBorder="1" applyProtection="1"/>
    <xf numFmtId="168" fontId="5" fillId="3" borderId="1" xfId="0" applyNumberFormat="1" applyFont="1" applyFill="1" applyBorder="1" applyAlignment="1" applyProtection="1">
      <alignment horizontal="right"/>
    </xf>
    <xf numFmtId="168" fontId="5" fillId="4" borderId="1" xfId="0" applyNumberFormat="1" applyFont="1" applyFill="1" applyBorder="1" applyProtection="1"/>
    <xf numFmtId="164" fontId="5" fillId="4" borderId="1" xfId="0" applyNumberFormat="1" applyFont="1" applyFill="1" applyBorder="1" applyProtection="1"/>
    <xf numFmtId="164" fontId="5" fillId="4" borderId="4" xfId="0" applyNumberFormat="1" applyFont="1" applyFill="1" applyBorder="1" applyAlignment="1" applyProtection="1">
      <alignment horizontal="left"/>
    </xf>
    <xf numFmtId="164" fontId="5" fillId="4" borderId="5" xfId="0" applyNumberFormat="1" applyFont="1" applyFill="1" applyBorder="1" applyAlignment="1" applyProtection="1">
      <alignment horizontal="left"/>
    </xf>
    <xf numFmtId="167" fontId="5" fillId="3" borderId="1" xfId="0" applyNumberFormat="1" applyFont="1" applyFill="1" applyBorder="1" applyProtection="1"/>
    <xf numFmtId="167" fontId="5" fillId="4" borderId="1" xfId="0" applyNumberFormat="1" applyFont="1" applyFill="1" applyBorder="1" applyProtection="1"/>
    <xf numFmtId="164" fontId="6" fillId="2" borderId="1" xfId="0" applyFont="1" applyFill="1" applyBorder="1" applyProtection="1"/>
    <xf numFmtId="164" fontId="6" fillId="5" borderId="0" xfId="0" quotePrefix="1" applyFont="1" applyFill="1" applyAlignment="1" applyProtection="1">
      <alignment horizontal="left"/>
    </xf>
    <xf numFmtId="164" fontId="6" fillId="5" borderId="0" xfId="0" applyFont="1" applyFill="1" applyProtection="1"/>
    <xf numFmtId="171" fontId="6" fillId="6" borderId="1" xfId="0" applyNumberFormat="1" applyFont="1" applyFill="1" applyBorder="1" applyProtection="1"/>
    <xf numFmtId="164" fontId="6" fillId="5" borderId="0" xfId="0" applyFont="1" applyFill="1" applyAlignment="1" applyProtection="1">
      <alignment horizontal="left"/>
    </xf>
    <xf numFmtId="171" fontId="5" fillId="0" borderId="0" xfId="0" applyNumberFormat="1" applyFont="1" applyProtection="1"/>
    <xf numFmtId="164" fontId="5" fillId="0" borderId="6" xfId="0" quotePrefix="1" applyNumberFormat="1" applyFont="1" applyBorder="1" applyAlignment="1" applyProtection="1">
      <alignment horizontal="right"/>
    </xf>
    <xf numFmtId="164" fontId="5" fillId="0" borderId="6" xfId="0" quotePrefix="1" applyFont="1" applyBorder="1" applyAlignment="1">
      <alignment horizontal="right"/>
    </xf>
    <xf numFmtId="164" fontId="5" fillId="0" borderId="6" xfId="0" applyFont="1" applyBorder="1"/>
    <xf numFmtId="164" fontId="5" fillId="0" borderId="0" xfId="0" applyFont="1" applyBorder="1"/>
    <xf numFmtId="164" fontId="5" fillId="7" borderId="1" xfId="0" applyNumberFormat="1" applyFont="1" applyFill="1" applyBorder="1" applyProtection="1"/>
    <xf numFmtId="167" fontId="5" fillId="7" borderId="1" xfId="0" applyNumberFormat="1" applyFont="1" applyFill="1" applyBorder="1" applyProtection="1"/>
    <xf numFmtId="168" fontId="5" fillId="7" borderId="1" xfId="0" applyNumberFormat="1" applyFont="1" applyFill="1" applyBorder="1" applyProtection="1"/>
    <xf numFmtId="164" fontId="5" fillId="7" borderId="1" xfId="0" applyFont="1" applyFill="1" applyBorder="1"/>
    <xf numFmtId="164" fontId="5" fillId="0" borderId="7" xfId="0" applyFont="1" applyBorder="1"/>
    <xf numFmtId="164" fontId="0" fillId="0" borderId="0" xfId="0" applyBorder="1"/>
    <xf numFmtId="164" fontId="0" fillId="0" borderId="0" xfId="0" applyNumberFormat="1" applyBorder="1" applyAlignment="1" applyProtection="1">
      <alignment horizontal="left"/>
    </xf>
    <xf numFmtId="164" fontId="7" fillId="8" borderId="8" xfId="0" quotePrefix="1" applyFont="1" applyFill="1" applyBorder="1" applyAlignment="1">
      <alignment horizontal="left"/>
    </xf>
    <xf numFmtId="164" fontId="8" fillId="8" borderId="4" xfId="0" quotePrefix="1" applyNumberFormat="1" applyFont="1" applyFill="1" applyBorder="1" applyAlignment="1" applyProtection="1">
      <alignment horizontal="left"/>
    </xf>
    <xf numFmtId="164" fontId="8" fillId="8" borderId="5" xfId="0" applyFont="1" applyFill="1" applyBorder="1"/>
    <xf numFmtId="164" fontId="8" fillId="8" borderId="1" xfId="0" applyFont="1" applyFill="1" applyBorder="1"/>
    <xf numFmtId="164" fontId="8" fillId="8" borderId="4" xfId="0" applyFont="1" applyFill="1" applyBorder="1"/>
    <xf numFmtId="164" fontId="6" fillId="2" borderId="1" xfId="2" applyFont="1">
      <alignment horizontal="left"/>
    </xf>
    <xf numFmtId="164" fontId="6" fillId="2" borderId="4" xfId="2" applyFont="1" applyBorder="1">
      <alignment horizontal="left"/>
    </xf>
    <xf numFmtId="164" fontId="6" fillId="2" borderId="5" xfId="2" applyFont="1" applyBorder="1">
      <alignment horizontal="left"/>
    </xf>
    <xf numFmtId="164" fontId="6" fillId="5" borderId="9" xfId="0" applyFont="1" applyFill="1" applyBorder="1" applyAlignment="1" applyProtection="1">
      <alignment horizontal="left"/>
    </xf>
    <xf numFmtId="164" fontId="6" fillId="5" borderId="9" xfId="0" applyFont="1" applyFill="1" applyBorder="1" applyProtection="1"/>
    <xf numFmtId="164" fontId="6" fillId="0" borderId="0" xfId="0" applyFont="1" applyAlignment="1" applyProtection="1">
      <alignment horizontal="left"/>
    </xf>
    <xf numFmtId="164" fontId="6" fillId="0" borderId="0" xfId="0" applyFont="1" applyProtection="1"/>
    <xf numFmtId="164" fontId="6" fillId="0" borderId="10" xfId="0" applyFont="1" applyBorder="1"/>
    <xf numFmtId="164" fontId="6" fillId="0" borderId="10" xfId="0" applyFont="1" applyBorder="1" applyAlignment="1" applyProtection="1">
      <alignment horizontal="left"/>
    </xf>
    <xf numFmtId="164" fontId="6" fillId="0" borderId="11" xfId="0" applyFont="1" applyBorder="1" applyProtection="1"/>
    <xf numFmtId="164" fontId="6" fillId="0" borderId="12" xfId="0" applyFont="1" applyBorder="1" applyAlignment="1" applyProtection="1">
      <alignment horizontal="left"/>
    </xf>
    <xf numFmtId="164" fontId="8" fillId="0" borderId="0" xfId="0" applyFont="1"/>
    <xf numFmtId="164" fontId="6" fillId="0" borderId="13" xfId="0" applyFont="1" applyBorder="1"/>
    <xf numFmtId="164" fontId="6" fillId="0" borderId="13" xfId="0" applyFont="1" applyBorder="1" applyAlignment="1" applyProtection="1">
      <alignment horizontal="right"/>
    </xf>
    <xf numFmtId="164" fontId="6" fillId="0" borderId="7" xfId="0" applyFont="1" applyBorder="1" applyAlignment="1" applyProtection="1">
      <alignment horizontal="right"/>
    </xf>
    <xf numFmtId="164" fontId="6" fillId="0" borderId="7" xfId="0" applyFont="1" applyBorder="1" applyProtection="1"/>
    <xf numFmtId="164" fontId="6" fillId="0" borderId="13" xfId="0" applyFont="1" applyBorder="1" applyAlignment="1" applyProtection="1">
      <alignment horizontal="left"/>
    </xf>
    <xf numFmtId="164" fontId="6" fillId="0" borderId="3" xfId="0" applyFont="1" applyBorder="1" applyAlignment="1" applyProtection="1">
      <alignment horizontal="left"/>
    </xf>
    <xf numFmtId="164" fontId="6" fillId="0" borderId="6" xfId="0" applyFont="1" applyBorder="1"/>
    <xf numFmtId="164" fontId="6" fillId="2" borderId="0" xfId="0" applyFont="1" applyFill="1" applyProtection="1"/>
    <xf numFmtId="167" fontId="6" fillId="6" borderId="1" xfId="0" applyNumberFormat="1" applyFont="1" applyFill="1" applyBorder="1" applyProtection="1"/>
    <xf numFmtId="164" fontId="6" fillId="6" borderId="0" xfId="0" applyFont="1" applyFill="1" applyProtection="1"/>
    <xf numFmtId="167" fontId="6" fillId="0" borderId="0" xfId="0" applyNumberFormat="1" applyFont="1" applyProtection="1"/>
    <xf numFmtId="171" fontId="6" fillId="0" borderId="0" xfId="0" applyNumberFormat="1" applyFont="1" applyAlignment="1" applyProtection="1">
      <alignment horizontal="left"/>
    </xf>
    <xf numFmtId="171" fontId="6" fillId="0" borderId="0" xfId="0" applyNumberFormat="1" applyFont="1" applyProtection="1"/>
    <xf numFmtId="164" fontId="0" fillId="0" borderId="0" xfId="0" applyProtection="1"/>
    <xf numFmtId="2" fontId="6" fillId="6" borderId="1" xfId="0" applyNumberFormat="1" applyFont="1" applyFill="1" applyBorder="1" applyProtection="1"/>
    <xf numFmtId="164" fontId="6" fillId="6" borderId="1" xfId="0" applyFont="1" applyFill="1" applyBorder="1" applyProtection="1"/>
    <xf numFmtId="170" fontId="1" fillId="3" borderId="1" xfId="0" applyNumberFormat="1" applyFont="1" applyFill="1" applyBorder="1"/>
    <xf numFmtId="164" fontId="1" fillId="0" borderId="0" xfId="0" quotePrefix="1" applyFont="1" applyAlignment="1">
      <alignment horizontal="right"/>
    </xf>
    <xf numFmtId="164" fontId="1" fillId="0" borderId="0" xfId="0" quotePrefix="1" applyFont="1" applyAlignment="1">
      <alignment horizontal="left"/>
    </xf>
    <xf numFmtId="170" fontId="1" fillId="3" borderId="1" xfId="0" applyNumberFormat="1" applyFont="1" applyFill="1" applyBorder="1" applyProtection="1"/>
    <xf numFmtId="164" fontId="1" fillId="0" borderId="0" xfId="0" applyFont="1"/>
    <xf numFmtId="164" fontId="4" fillId="0" borderId="0" xfId="0" applyFont="1"/>
    <xf numFmtId="170" fontId="6" fillId="3" borderId="1" xfId="0" applyNumberFormat="1" applyFont="1" applyFill="1" applyBorder="1"/>
    <xf numFmtId="164" fontId="6" fillId="0" borderId="0" xfId="0" quotePrefix="1" applyFont="1" applyAlignment="1">
      <alignment horizontal="left"/>
    </xf>
    <xf numFmtId="170" fontId="6" fillId="3" borderId="1" xfId="0" applyNumberFormat="1" applyFont="1" applyFill="1" applyBorder="1" applyProtection="1"/>
    <xf numFmtId="170" fontId="6" fillId="0" borderId="0" xfId="0" applyNumberFormat="1" applyFont="1"/>
    <xf numFmtId="164" fontId="6" fillId="0" borderId="0" xfId="0" applyNumberFormat="1" applyFont="1" applyAlignment="1" applyProtection="1">
      <alignment horizontal="left"/>
    </xf>
    <xf numFmtId="164" fontId="6" fillId="0" borderId="0" xfId="0" quotePrefix="1" applyFont="1" applyAlignment="1">
      <alignment horizontal="right"/>
    </xf>
    <xf numFmtId="164" fontId="5" fillId="3" borderId="1" xfId="0" applyNumberFormat="1" applyFont="1" applyFill="1" applyBorder="1" applyProtection="1"/>
    <xf numFmtId="164" fontId="9" fillId="0" borderId="0" xfId="0" quotePrefix="1" applyFont="1" applyAlignment="1">
      <alignment horizontal="centerContinuous"/>
    </xf>
    <xf numFmtId="164" fontId="9" fillId="0" borderId="0" xfId="0" applyFont="1" applyAlignment="1">
      <alignment horizontal="centerContinuous"/>
    </xf>
    <xf numFmtId="164" fontId="6" fillId="8" borderId="4" xfId="0" applyFont="1" applyFill="1" applyBorder="1"/>
    <xf numFmtId="164" fontId="0" fillId="8" borderId="4" xfId="0" applyFill="1" applyBorder="1"/>
    <xf numFmtId="165" fontId="5" fillId="8" borderId="4" xfId="0" applyNumberFormat="1" applyFont="1" applyFill="1" applyBorder="1" applyProtection="1"/>
    <xf numFmtId="166" fontId="5" fillId="8" borderId="5" xfId="0" applyNumberFormat="1" applyFont="1" applyFill="1" applyBorder="1" applyProtection="1"/>
    <xf numFmtId="0" fontId="3" fillId="0" borderId="0" xfId="1"/>
    <xf numFmtId="0" fontId="3" fillId="0" borderId="0" xfId="1" applyAlignment="1">
      <alignment horizontal="center"/>
    </xf>
    <xf numFmtId="0" fontId="3" fillId="9" borderId="14" xfId="1" applyFill="1" applyBorder="1" applyAlignment="1">
      <alignment horizontal="center"/>
    </xf>
    <xf numFmtId="0" fontId="3" fillId="9" borderId="14" xfId="1" quotePrefix="1" applyFill="1" applyBorder="1" applyAlignment="1">
      <alignment horizontal="center"/>
    </xf>
    <xf numFmtId="0" fontId="3" fillId="0" borderId="15" xfId="1" applyBorder="1"/>
    <xf numFmtId="0" fontId="3" fillId="9" borderId="16" xfId="1" quotePrefix="1" applyFill="1" applyBorder="1" applyAlignment="1">
      <alignment horizontal="center"/>
    </xf>
    <xf numFmtId="0" fontId="3" fillId="9" borderId="17" xfId="1" quotePrefix="1" applyFill="1" applyBorder="1" applyAlignment="1">
      <alignment horizontal="center"/>
    </xf>
    <xf numFmtId="0" fontId="3" fillId="9" borderId="17" xfId="1" applyFill="1" applyBorder="1" applyAlignment="1">
      <alignment horizontal="center"/>
    </xf>
    <xf numFmtId="0" fontId="3" fillId="0" borderId="17" xfId="1" quotePrefix="1" applyBorder="1" applyAlignment="1">
      <alignment horizontal="left"/>
    </xf>
    <xf numFmtId="169" fontId="3" fillId="0" borderId="17" xfId="1" applyNumberFormat="1" applyBorder="1"/>
    <xf numFmtId="0" fontId="3" fillId="0" borderId="17" xfId="1" applyBorder="1" applyAlignment="1">
      <alignment horizontal="center"/>
    </xf>
    <xf numFmtId="0" fontId="3" fillId="0" borderId="17" xfId="1" applyBorder="1"/>
    <xf numFmtId="0" fontId="3" fillId="0" borderId="1" xfId="1" applyBorder="1" applyAlignment="1">
      <alignment horizontal="center"/>
    </xf>
    <xf numFmtId="0" fontId="3" fillId="0" borderId="1" xfId="1" applyBorder="1"/>
    <xf numFmtId="0" fontId="3" fillId="0" borderId="16" xfId="1" applyBorder="1"/>
    <xf numFmtId="0" fontId="3" fillId="0" borderId="16" xfId="1" applyBorder="1" applyAlignment="1">
      <alignment horizontal="center"/>
    </xf>
    <xf numFmtId="0" fontId="3" fillId="0" borderId="16" xfId="1" quotePrefix="1" applyBorder="1" applyAlignment="1">
      <alignment horizontal="left"/>
    </xf>
    <xf numFmtId="0" fontId="3" fillId="0" borderId="17" xfId="1" applyBorder="1" applyAlignment="1">
      <alignment horizontal="left"/>
    </xf>
    <xf numFmtId="0" fontId="3" fillId="0" borderId="18" xfId="1" applyBorder="1"/>
    <xf numFmtId="0" fontId="3" fillId="0" borderId="0" xfId="1" applyBorder="1"/>
    <xf numFmtId="0" fontId="3" fillId="0" borderId="0" xfId="1" applyBorder="1" applyAlignment="1">
      <alignment horizontal="center"/>
    </xf>
    <xf numFmtId="0" fontId="11" fillId="10" borderId="19" xfId="1" quotePrefix="1" applyFont="1" applyFill="1" applyBorder="1" applyAlignment="1">
      <alignment horizontal="left"/>
    </xf>
    <xf numFmtId="0" fontId="12" fillId="0" borderId="15" xfId="1" quotePrefix="1" applyFont="1" applyBorder="1" applyAlignment="1">
      <alignment horizontal="left"/>
    </xf>
    <xf numFmtId="0" fontId="3" fillId="0" borderId="18" xfId="1" applyBorder="1" applyAlignment="1">
      <alignment horizontal="center"/>
    </xf>
    <xf numFmtId="0" fontId="11" fillId="0" borderId="0" xfId="1" applyFont="1" applyAlignment="1">
      <alignment horizontal="centerContinuous"/>
    </xf>
    <xf numFmtId="0" fontId="3" fillId="0" borderId="17" xfId="1" quotePrefix="1" applyFont="1" applyBorder="1" applyAlignment="1">
      <alignment horizontal="left"/>
    </xf>
    <xf numFmtId="0" fontId="3" fillId="0" borderId="1" xfId="1" quotePrefix="1" applyFont="1" applyBorder="1" applyAlignment="1">
      <alignment horizontal="left"/>
    </xf>
    <xf numFmtId="0" fontId="3" fillId="0" borderId="16" xfId="1" applyFont="1" applyBorder="1"/>
    <xf numFmtId="0" fontId="3" fillId="0" borderId="16" xfId="1" quotePrefix="1" applyFont="1" applyBorder="1" applyAlignment="1">
      <alignment horizontal="left"/>
    </xf>
    <xf numFmtId="0" fontId="3" fillId="9" borderId="17" xfId="1" applyFont="1" applyFill="1" applyBorder="1" applyAlignment="1">
      <alignment horizontal="center"/>
    </xf>
    <xf numFmtId="164" fontId="5" fillId="0" borderId="3" xfId="0" quotePrefix="1" applyNumberFormat="1" applyFont="1" applyBorder="1" applyAlignment="1" applyProtection="1">
      <alignment horizontal="center"/>
    </xf>
    <xf numFmtId="164" fontId="13" fillId="11" borderId="0" xfId="0" applyFont="1" applyFill="1" applyAlignment="1"/>
    <xf numFmtId="164" fontId="13" fillId="11" borderId="0" xfId="0" applyFont="1" applyFill="1" applyAlignment="1" applyProtection="1"/>
    <xf numFmtId="164" fontId="6" fillId="11" borderId="0" xfId="0" applyFont="1" applyFill="1" applyAlignment="1" applyProtection="1"/>
    <xf numFmtId="164" fontId="8" fillId="0" borderId="0" xfId="0" quotePrefix="1" applyNumberFormat="1" applyFont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right"/>
    </xf>
    <xf numFmtId="167" fontId="0" fillId="0" borderId="0" xfId="0" applyNumberFormat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1" xfId="0" quotePrefix="1" applyNumberFormat="1" applyFont="1" applyFill="1" applyBorder="1" applyAlignment="1" applyProtection="1">
      <alignment horizontal="center"/>
    </xf>
    <xf numFmtId="0" fontId="10" fillId="0" borderId="0" xfId="1" quotePrefix="1" applyFont="1" applyAlignment="1">
      <alignment horizontal="centerContinuous"/>
    </xf>
    <xf numFmtId="0" fontId="3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164" fontId="14" fillId="0" borderId="0" xfId="0" applyFont="1" applyAlignment="1">
      <alignment horizontal="centerContinuous"/>
    </xf>
    <xf numFmtId="0" fontId="15" fillId="9" borderId="14" xfId="1" applyFont="1" applyFill="1" applyBorder="1" applyAlignment="1">
      <alignment horizontal="center"/>
    </xf>
    <xf numFmtId="0" fontId="15" fillId="9" borderId="14" xfId="1" quotePrefix="1" applyFont="1" applyFill="1" applyBorder="1" applyAlignment="1">
      <alignment horizontal="center"/>
    </xf>
    <xf numFmtId="0" fontId="15" fillId="9" borderId="16" xfId="1" quotePrefix="1" applyFont="1" applyFill="1" applyBorder="1" applyAlignment="1">
      <alignment horizontal="center"/>
    </xf>
    <xf numFmtId="0" fontId="15" fillId="9" borderId="17" xfId="1" quotePrefix="1" applyFont="1" applyFill="1" applyBorder="1" applyAlignment="1">
      <alignment horizontal="center"/>
    </xf>
    <xf numFmtId="0" fontId="15" fillId="9" borderId="17" xfId="1" applyFont="1" applyFill="1" applyBorder="1" applyAlignment="1">
      <alignment horizontal="center"/>
    </xf>
    <xf numFmtId="164" fontId="6" fillId="0" borderId="0" xfId="0" quotePrefix="1" applyFont="1" applyAlignment="1" applyProtection="1">
      <alignment horizontal="left"/>
    </xf>
    <xf numFmtId="164" fontId="2" fillId="0" borderId="0" xfId="0" applyNumberFormat="1" applyFont="1" applyAlignment="1" applyProtection="1">
      <alignment horizontal="right"/>
    </xf>
    <xf numFmtId="164" fontId="1" fillId="2" borderId="8" xfId="2" quotePrefix="1" applyFont="1" applyBorder="1" applyAlignment="1">
      <alignment horizontal="left"/>
    </xf>
    <xf numFmtId="164" fontId="1" fillId="2" borderId="8" xfId="2" applyFont="1" applyBorder="1">
      <alignment horizontal="left"/>
    </xf>
    <xf numFmtId="164" fontId="2" fillId="4" borderId="8" xfId="0" quotePrefix="1" applyNumberFormat="1" applyFont="1" applyFill="1" applyBorder="1" applyAlignment="1" applyProtection="1">
      <alignment horizontal="left"/>
    </xf>
    <xf numFmtId="164" fontId="2" fillId="4" borderId="1" xfId="0" quotePrefix="1" applyNumberFormat="1" applyFont="1" applyFill="1" applyBorder="1" applyAlignment="1" applyProtection="1">
      <alignment horizontal="left"/>
    </xf>
    <xf numFmtId="2" fontId="0" fillId="0" borderId="0" xfId="0" applyNumberFormat="1"/>
    <xf numFmtId="1" fontId="3" fillId="0" borderId="16" xfId="1" quotePrefix="1" applyNumberFormat="1" applyFont="1" applyBorder="1" applyAlignment="1">
      <alignment horizontal="left"/>
    </xf>
    <xf numFmtId="2" fontId="3" fillId="0" borderId="0" xfId="1" applyNumberFormat="1" applyAlignment="1">
      <alignment horizontal="right"/>
    </xf>
    <xf numFmtId="2" fontId="3" fillId="0" borderId="0" xfId="1" applyNumberFormat="1"/>
    <xf numFmtId="2" fontId="15" fillId="9" borderId="14" xfId="1" quotePrefix="1" applyNumberFormat="1" applyFont="1" applyFill="1" applyBorder="1" applyAlignment="1">
      <alignment horizontal="right"/>
    </xf>
    <xf numFmtId="2" fontId="15" fillId="9" borderId="14" xfId="1" applyNumberFormat="1" applyFont="1" applyFill="1" applyBorder="1" applyAlignment="1">
      <alignment horizontal="center"/>
    </xf>
    <xf numFmtId="2" fontId="15" fillId="9" borderId="16" xfId="1" quotePrefix="1" applyNumberFormat="1" applyFont="1" applyFill="1" applyBorder="1" applyAlignment="1">
      <alignment horizontal="right"/>
    </xf>
    <xf numFmtId="2" fontId="15" fillId="9" borderId="16" xfId="1" applyNumberFormat="1" applyFont="1" applyFill="1" applyBorder="1" applyAlignment="1">
      <alignment horizontal="center"/>
    </xf>
    <xf numFmtId="2" fontId="15" fillId="9" borderId="17" xfId="1" quotePrefix="1" applyNumberFormat="1" applyFont="1" applyFill="1" applyBorder="1" applyAlignment="1">
      <alignment horizontal="right"/>
    </xf>
    <xf numFmtId="2" fontId="15" fillId="9" borderId="17" xfId="1" quotePrefix="1" applyNumberFormat="1" applyFont="1" applyFill="1" applyBorder="1" applyAlignment="1">
      <alignment horizontal="center"/>
    </xf>
    <xf numFmtId="2" fontId="3" fillId="0" borderId="18" xfId="1" applyNumberFormat="1" applyBorder="1" applyAlignment="1">
      <alignment horizontal="right"/>
    </xf>
    <xf numFmtId="2" fontId="3" fillId="0" borderId="17" xfId="1" applyNumberFormat="1" applyBorder="1"/>
    <xf numFmtId="2" fontId="3" fillId="0" borderId="17" xfId="1" applyNumberFormat="1" applyBorder="1" applyAlignment="1">
      <alignment horizontal="right"/>
    </xf>
    <xf numFmtId="2" fontId="3" fillId="0" borderId="16" xfId="1" applyNumberFormat="1" applyBorder="1" applyAlignment="1">
      <alignment horizontal="right"/>
    </xf>
    <xf numFmtId="2" fontId="3" fillId="0" borderId="16" xfId="1" applyNumberFormat="1" applyBorder="1"/>
    <xf numFmtId="2" fontId="3" fillId="9" borderId="14" xfId="1" quotePrefix="1" applyNumberFormat="1" applyFill="1" applyBorder="1" applyAlignment="1">
      <alignment horizontal="right"/>
    </xf>
    <xf numFmtId="2" fontId="3" fillId="9" borderId="14" xfId="1" applyNumberFormat="1" applyFill="1" applyBorder="1" applyAlignment="1">
      <alignment horizontal="center"/>
    </xf>
    <xf numFmtId="2" fontId="3" fillId="9" borderId="16" xfId="1" quotePrefix="1" applyNumberFormat="1" applyFill="1" applyBorder="1" applyAlignment="1">
      <alignment horizontal="right"/>
    </xf>
    <xf numFmtId="2" fontId="3" fillId="9" borderId="16" xfId="1" applyNumberFormat="1" applyFill="1" applyBorder="1" applyAlignment="1">
      <alignment horizontal="center"/>
    </xf>
    <xf numFmtId="2" fontId="3" fillId="9" borderId="17" xfId="1" quotePrefix="1" applyNumberFormat="1" applyFill="1" applyBorder="1" applyAlignment="1">
      <alignment horizontal="right"/>
    </xf>
    <xf numFmtId="2" fontId="3" fillId="9" borderId="17" xfId="1" quotePrefix="1" applyNumberFormat="1" applyFill="1" applyBorder="1" applyAlignment="1">
      <alignment horizontal="center"/>
    </xf>
    <xf numFmtId="164" fontId="18" fillId="0" borderId="0" xfId="0" applyFont="1" applyAlignment="1">
      <alignment horizontal="left" wrapText="1"/>
    </xf>
    <xf numFmtId="164" fontId="18" fillId="0" borderId="0" xfId="0" quotePrefix="1" applyFont="1" applyAlignment="1">
      <alignment horizontal="left" wrapText="1"/>
    </xf>
    <xf numFmtId="164" fontId="19" fillId="5" borderId="0" xfId="0" quotePrefix="1" applyFont="1" applyFill="1" applyAlignment="1" applyProtection="1">
      <alignment horizontal="left" wrapText="1"/>
    </xf>
    <xf numFmtId="164" fontId="19" fillId="5" borderId="0" xfId="0" applyFont="1" applyFill="1" applyAlignment="1" applyProtection="1">
      <alignment wrapText="1"/>
    </xf>
    <xf numFmtId="164" fontId="18" fillId="0" borderId="0" xfId="0" applyFont="1" applyAlignment="1">
      <alignment wrapText="1"/>
    </xf>
    <xf numFmtId="164" fontId="18" fillId="0" borderId="0" xfId="0" applyFont="1"/>
    <xf numFmtId="164" fontId="1" fillId="5" borderId="0" xfId="0" quotePrefix="1" applyFont="1" applyFill="1" applyAlignment="1" applyProtection="1">
      <alignment horizontal="left"/>
    </xf>
    <xf numFmtId="169" fontId="3" fillId="0" borderId="1" xfId="1" applyNumberFormat="1" applyBorder="1" applyAlignment="1">
      <alignment horizontal="left"/>
    </xf>
    <xf numFmtId="0" fontId="3" fillId="0" borderId="16" xfId="1" quotePrefix="1" applyFont="1" applyBorder="1" applyAlignment="1">
      <alignment horizontal="left" wrapText="1"/>
    </xf>
    <xf numFmtId="164" fontId="2" fillId="0" borderId="0" xfId="0" applyFont="1"/>
    <xf numFmtId="2" fontId="3" fillId="0" borderId="15" xfId="1" applyNumberFormat="1" applyBorder="1"/>
    <xf numFmtId="170" fontId="3" fillId="0" borderId="17" xfId="1" applyNumberFormat="1" applyBorder="1" applyAlignment="1">
      <alignment horizontal="right"/>
    </xf>
    <xf numFmtId="170" fontId="3" fillId="0" borderId="1" xfId="1" applyNumberFormat="1" applyBorder="1"/>
    <xf numFmtId="170" fontId="3" fillId="0" borderId="17" xfId="1" applyNumberFormat="1" applyBorder="1"/>
    <xf numFmtId="170" fontId="3" fillId="0" borderId="16" xfId="1" applyNumberFormat="1" applyBorder="1" applyAlignment="1">
      <alignment horizontal="right"/>
    </xf>
    <xf numFmtId="170" fontId="3" fillId="0" borderId="16" xfId="1" applyNumberFormat="1" applyBorder="1"/>
    <xf numFmtId="170" fontId="3" fillId="10" borderId="20" xfId="1" applyNumberFormat="1" applyFill="1" applyBorder="1" applyAlignment="1">
      <alignment horizontal="right"/>
    </xf>
    <xf numFmtId="170" fontId="3" fillId="10" borderId="20" xfId="1" applyNumberFormat="1" applyFill="1" applyBorder="1"/>
    <xf numFmtId="0" fontId="20" fillId="0" borderId="0" xfId="0" applyNumberFormat="1" applyFont="1"/>
    <xf numFmtId="167" fontId="5" fillId="0" borderId="0" xfId="0" applyNumberFormat="1" applyFont="1" applyAlignment="1" applyProtection="1">
      <alignment horizontal="left"/>
    </xf>
  </cellXfs>
  <cellStyles count="16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Normal" xfId="0" builtinId="0"/>
    <cellStyle name="Normal_169SITES" xfId="1"/>
    <cellStyle name="yellow" xfId="2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4"/>
  <sheetViews>
    <sheetView tabSelected="1" workbookViewId="0">
      <selection activeCell="B21" sqref="B21"/>
    </sheetView>
  </sheetViews>
  <sheetFormatPr baseColWidth="10" defaultColWidth="8.83203125" defaultRowHeight="12" x14ac:dyDescent="0"/>
  <cols>
    <col min="2" max="2" width="139.1640625" customWidth="1"/>
    <col min="3" max="3" width="9.83203125" customWidth="1"/>
    <col min="7" max="7" width="13.33203125" bestFit="1" customWidth="1"/>
    <col min="8" max="8" width="9.33203125" bestFit="1" customWidth="1"/>
  </cols>
  <sheetData>
    <row r="1" spans="1:4" ht="15">
      <c r="B1" s="104" t="s">
        <v>103</v>
      </c>
    </row>
    <row r="2" spans="1:4" ht="15">
      <c r="B2" s="103" t="s">
        <v>91</v>
      </c>
    </row>
    <row r="4" spans="1:4" ht="39">
      <c r="B4" s="184" t="s">
        <v>116</v>
      </c>
    </row>
    <row r="5" spans="1:4" ht="13">
      <c r="B5" s="184"/>
    </row>
    <row r="6" spans="1:4" ht="13">
      <c r="B6" s="184" t="s">
        <v>124</v>
      </c>
    </row>
    <row r="7" spans="1:4" ht="28" customHeight="1">
      <c r="B7" s="184" t="s">
        <v>117</v>
      </c>
    </row>
    <row r="8" spans="1:4" ht="28" customHeight="1">
      <c r="B8" s="184" t="s">
        <v>125</v>
      </c>
    </row>
    <row r="9" spans="1:4" ht="28" customHeight="1">
      <c r="B9" s="184" t="s">
        <v>118</v>
      </c>
    </row>
    <row r="10" spans="1:4" ht="13">
      <c r="B10" s="185"/>
    </row>
    <row r="11" spans="1:4" ht="20" customHeight="1" thickBot="1">
      <c r="B11" s="185" t="s">
        <v>119</v>
      </c>
    </row>
    <row r="12" spans="1:4" ht="20" customHeight="1" thickBot="1">
      <c r="A12" s="40" t="s">
        <v>92</v>
      </c>
      <c r="B12" s="186" t="s">
        <v>93</v>
      </c>
      <c r="D12" s="1"/>
    </row>
    <row r="13" spans="1:4" ht="20" customHeight="1" thickBot="1">
      <c r="A13" s="43" t="s">
        <v>92</v>
      </c>
      <c r="B13" s="186" t="s">
        <v>94</v>
      </c>
      <c r="D13" s="1"/>
    </row>
    <row r="14" spans="1:4" ht="13">
      <c r="B14" s="187" t="s">
        <v>95</v>
      </c>
    </row>
    <row r="15" spans="1:4" ht="13">
      <c r="B15" s="188"/>
    </row>
    <row r="16" spans="1:4" ht="13">
      <c r="B16" s="185" t="s">
        <v>126</v>
      </c>
    </row>
    <row r="17" spans="2:2" ht="13">
      <c r="B17" s="185"/>
    </row>
    <row r="18" spans="2:2" ht="13">
      <c r="B18" s="185" t="s">
        <v>120</v>
      </c>
    </row>
    <row r="19" spans="2:2" ht="13">
      <c r="B19" s="184" t="s">
        <v>96</v>
      </c>
    </row>
    <row r="20" spans="2:2" ht="13">
      <c r="B20" s="188" t="s">
        <v>97</v>
      </c>
    </row>
    <row r="21" spans="2:2" ht="13">
      <c r="B21" s="185" t="s">
        <v>128</v>
      </c>
    </row>
    <row r="22" spans="2:2" ht="13">
      <c r="B22" s="185" t="s">
        <v>98</v>
      </c>
    </row>
    <row r="23" spans="2:2" ht="13">
      <c r="B23" s="185" t="s">
        <v>99</v>
      </c>
    </row>
    <row r="24" spans="2:2" ht="26">
      <c r="B24" s="185" t="s">
        <v>127</v>
      </c>
    </row>
    <row r="25" spans="2:2" ht="13">
      <c r="B25" s="185" t="s">
        <v>121</v>
      </c>
    </row>
    <row r="26" spans="2:2" ht="13">
      <c r="B26" s="185" t="s">
        <v>106</v>
      </c>
    </row>
    <row r="27" spans="2:2" ht="13">
      <c r="B27" s="188" t="s">
        <v>107</v>
      </c>
    </row>
    <row r="28" spans="2:2" ht="13">
      <c r="B28" s="188" t="s">
        <v>105</v>
      </c>
    </row>
    <row r="29" spans="2:2" ht="13">
      <c r="B29" s="188"/>
    </row>
    <row r="30" spans="2:2" ht="26">
      <c r="B30" s="185" t="s">
        <v>129</v>
      </c>
    </row>
    <row r="31" spans="2:2" ht="13">
      <c r="B31" s="185" t="s">
        <v>122</v>
      </c>
    </row>
    <row r="32" spans="2:2" ht="13">
      <c r="B32" s="185" t="s">
        <v>130</v>
      </c>
    </row>
    <row r="33" spans="2:8" ht="13">
      <c r="B33" s="185" t="s">
        <v>131</v>
      </c>
    </row>
    <row r="34" spans="2:8" ht="13">
      <c r="B34" s="185" t="s">
        <v>132</v>
      </c>
    </row>
    <row r="35" spans="2:8" ht="13">
      <c r="B35" s="188" t="s">
        <v>100</v>
      </c>
    </row>
    <row r="36" spans="2:8" ht="13">
      <c r="B36" s="188"/>
    </row>
    <row r="37" spans="2:8" ht="13">
      <c r="B37" s="185" t="s">
        <v>133</v>
      </c>
    </row>
    <row r="38" spans="2:8" ht="13">
      <c r="B38" s="188" t="s">
        <v>134</v>
      </c>
    </row>
    <row r="39" spans="2:8" ht="13">
      <c r="B39" s="188" t="s">
        <v>101</v>
      </c>
    </row>
    <row r="40" spans="2:8" ht="13">
      <c r="B40" s="188" t="s">
        <v>102</v>
      </c>
    </row>
    <row r="41" spans="2:8" ht="13">
      <c r="B41" s="185" t="s">
        <v>135</v>
      </c>
    </row>
    <row r="42" spans="2:8" ht="13">
      <c r="B42" s="188"/>
    </row>
    <row r="43" spans="2:8" ht="13">
      <c r="B43" s="185" t="s">
        <v>115</v>
      </c>
      <c r="G43" s="163">
        <v>33.333333333333336</v>
      </c>
      <c r="H43" s="163">
        <f>400/G43</f>
        <v>12</v>
      </c>
    </row>
    <row r="44" spans="2:8" ht="13">
      <c r="B44" s="188" t="s">
        <v>123</v>
      </c>
    </row>
    <row r="45" spans="2:8" ht="13">
      <c r="B45" s="188"/>
    </row>
    <row r="46" spans="2:8" ht="26">
      <c r="B46" s="188" t="s">
        <v>136</v>
      </c>
    </row>
    <row r="47" spans="2:8" ht="13">
      <c r="B47" s="189"/>
    </row>
    <row r="48" spans="2:8" ht="13">
      <c r="B48" s="189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enableFormatConditionsCalculation="0"/>
  <dimension ref="A1:O146"/>
  <sheetViews>
    <sheetView workbookViewId="0">
      <selection activeCell="F1" sqref="F1"/>
    </sheetView>
  </sheetViews>
  <sheetFormatPr baseColWidth="10" defaultColWidth="15.83203125" defaultRowHeight="12" x14ac:dyDescent="0"/>
  <cols>
    <col min="1" max="1" width="19.83203125" customWidth="1"/>
    <col min="2" max="2" width="13.5" customWidth="1"/>
    <col min="3" max="3" width="7.83203125" customWidth="1"/>
    <col min="4" max="4" width="9.83203125" customWidth="1"/>
    <col min="5" max="5" width="7.83203125" customWidth="1"/>
    <col min="6" max="6" width="10.83203125" customWidth="1"/>
    <col min="7" max="7" width="9.83203125" customWidth="1"/>
    <col min="8" max="8" width="31.83203125" customWidth="1"/>
    <col min="9" max="9" width="7.83203125" customWidth="1"/>
    <col min="10" max="10" width="33.83203125" customWidth="1"/>
  </cols>
  <sheetData>
    <row r="1" spans="1:14" ht="16" thickBot="1">
      <c r="B1" s="143" t="s">
        <v>6</v>
      </c>
      <c r="C1" s="23"/>
      <c r="D1" s="23"/>
      <c r="F1" s="9">
        <f ca="1">NOW()</f>
        <v>42622.473074305555</v>
      </c>
      <c r="G1" s="11">
        <f ca="1">NOW()</f>
        <v>42622.473074305555</v>
      </c>
      <c r="L1" s="1"/>
      <c r="M1" s="1"/>
      <c r="N1" s="1"/>
    </row>
    <row r="2" spans="1:14" ht="13" thickBot="1">
      <c r="A2" s="40" t="s">
        <v>92</v>
      </c>
      <c r="B2" s="41" t="s">
        <v>7</v>
      </c>
      <c r="C2" s="42"/>
      <c r="D2" s="42"/>
      <c r="E2" s="42"/>
      <c r="F2" s="42"/>
      <c r="G2" s="42"/>
      <c r="M2" s="1"/>
    </row>
    <row r="3" spans="1:14" ht="13" thickBot="1">
      <c r="A3" s="43" t="s">
        <v>92</v>
      </c>
      <c r="B3" s="41" t="s">
        <v>8</v>
      </c>
      <c r="C3" s="42"/>
      <c r="D3" s="42"/>
      <c r="E3" s="42"/>
      <c r="F3" s="42"/>
      <c r="G3" s="42"/>
      <c r="M3" s="1"/>
    </row>
    <row r="4" spans="1:14">
      <c r="A4" s="41" t="s">
        <v>9</v>
      </c>
      <c r="B4" s="44"/>
      <c r="C4" s="42"/>
      <c r="D4" s="42"/>
      <c r="E4" s="42"/>
      <c r="F4" s="42"/>
      <c r="G4" s="42"/>
      <c r="M4" s="1"/>
    </row>
    <row r="5" spans="1:14">
      <c r="A5" s="41" t="s">
        <v>10</v>
      </c>
      <c r="B5" s="44"/>
      <c r="C5" s="42"/>
      <c r="D5" s="42"/>
      <c r="E5" s="42"/>
      <c r="F5" s="42"/>
      <c r="G5" s="42"/>
      <c r="M5" s="1"/>
    </row>
    <row r="6" spans="1:14">
      <c r="A6" s="41" t="s">
        <v>11</v>
      </c>
      <c r="B6" s="44"/>
      <c r="C6" s="42"/>
      <c r="D6" s="42"/>
      <c r="E6" s="42"/>
      <c r="F6" s="42"/>
      <c r="G6" s="42"/>
      <c r="H6" s="6"/>
      <c r="M6" s="1"/>
    </row>
    <row r="7" spans="1:14" ht="7.75" customHeight="1" thickBot="1">
      <c r="B7" s="22"/>
      <c r="C7" s="23"/>
      <c r="D7" s="23"/>
      <c r="F7" s="9"/>
      <c r="G7" s="11"/>
      <c r="M7" s="1"/>
    </row>
    <row r="8" spans="1:14" ht="14.25" customHeight="1" thickBot="1">
      <c r="A8" s="6"/>
      <c r="B8" s="24" t="s">
        <v>111</v>
      </c>
      <c r="C8" s="161" t="s">
        <v>138</v>
      </c>
      <c r="D8" s="36"/>
      <c r="E8" s="37"/>
      <c r="H8" s="6"/>
      <c r="M8" s="1"/>
    </row>
    <row r="9" spans="1:14" ht="15.5" customHeight="1" thickBot="1">
      <c r="A9" s="6"/>
      <c r="B9" s="24" t="s">
        <v>12</v>
      </c>
      <c r="C9" s="162" t="s">
        <v>139</v>
      </c>
      <c r="D9" s="6"/>
      <c r="E9" s="6"/>
      <c r="G9" s="6"/>
      <c r="H9" s="6"/>
      <c r="M9" s="1"/>
    </row>
    <row r="10" spans="1:14" ht="13" thickBot="1">
      <c r="A10" s="6"/>
      <c r="B10" s="25" t="s">
        <v>13</v>
      </c>
      <c r="C10" s="35">
        <v>1800</v>
      </c>
      <c r="D10" s="26" t="s">
        <v>14</v>
      </c>
      <c r="E10" s="6"/>
      <c r="F10" s="6"/>
      <c r="G10" s="6"/>
      <c r="H10" s="14"/>
    </row>
    <row r="11" spans="1:14" ht="13" thickBot="1">
      <c r="A11" s="6"/>
      <c r="B11" s="14" t="s">
        <v>92</v>
      </c>
      <c r="C11" s="6"/>
      <c r="D11" s="6"/>
      <c r="E11" s="6"/>
      <c r="F11" s="6"/>
      <c r="G11" s="6"/>
      <c r="H11" s="6"/>
      <c r="M11" s="1"/>
    </row>
    <row r="12" spans="1:14" ht="16" thickBot="1">
      <c r="A12" s="57" t="s">
        <v>15</v>
      </c>
      <c r="B12" s="58"/>
      <c r="C12" s="61"/>
      <c r="D12" s="105"/>
      <c r="E12" s="106"/>
      <c r="F12" s="107"/>
      <c r="G12" s="108"/>
      <c r="M12" s="1"/>
    </row>
    <row r="13" spans="1:14" ht="13" thickBot="1">
      <c r="A13" s="146" t="s">
        <v>16</v>
      </c>
      <c r="B13" s="6"/>
      <c r="C13" s="6"/>
      <c r="D13" s="6"/>
      <c r="E13" s="6"/>
      <c r="F13" s="6"/>
      <c r="G13" s="6"/>
      <c r="H13" s="6"/>
      <c r="M13" s="1"/>
    </row>
    <row r="14" spans="1:14" ht="13" thickTop="1">
      <c r="A14" s="27" t="s">
        <v>17</v>
      </c>
      <c r="B14" s="29" t="s">
        <v>18</v>
      </c>
      <c r="C14" s="27" t="s">
        <v>19</v>
      </c>
      <c r="D14" s="27" t="s">
        <v>20</v>
      </c>
      <c r="E14" s="31" t="s">
        <v>21</v>
      </c>
      <c r="F14" s="27" t="s">
        <v>22</v>
      </c>
      <c r="G14" s="6"/>
      <c r="H14" s="7"/>
      <c r="M14" s="1"/>
    </row>
    <row r="15" spans="1:14" ht="13" thickBot="1">
      <c r="A15" s="28"/>
      <c r="B15" s="30" t="s">
        <v>23</v>
      </c>
      <c r="C15" s="30" t="s">
        <v>24</v>
      </c>
      <c r="D15" s="139" t="s">
        <v>25</v>
      </c>
      <c r="E15" s="30" t="s">
        <v>24</v>
      </c>
      <c r="F15" s="139" t="s">
        <v>26</v>
      </c>
      <c r="G15" s="6"/>
      <c r="H15" s="7"/>
      <c r="M15" s="1"/>
    </row>
    <row r="16" spans="1:14" ht="14" thickTop="1" thickBot="1">
      <c r="A16" s="12" t="s">
        <v>27</v>
      </c>
      <c r="B16" s="8" t="s">
        <v>92</v>
      </c>
      <c r="C16" s="39">
        <v>1</v>
      </c>
      <c r="D16" s="8" t="s">
        <v>92</v>
      </c>
      <c r="E16" s="6"/>
      <c r="F16" s="6"/>
      <c r="G16" s="6"/>
      <c r="H16" s="7"/>
      <c r="I16" s="3"/>
      <c r="M16" s="1"/>
    </row>
    <row r="17" spans="1:13" ht="13" thickBot="1">
      <c r="A17" s="7" t="s">
        <v>28</v>
      </c>
      <c r="B17" s="13">
        <f>$C$10</f>
        <v>1800</v>
      </c>
      <c r="C17" s="38">
        <f>IF(B17&gt;0,(B17/28.5/20)+2,0)</f>
        <v>5.1578947368421053</v>
      </c>
      <c r="D17" s="6"/>
      <c r="E17" s="6"/>
      <c r="F17" s="6"/>
      <c r="G17" s="6"/>
      <c r="H17" s="7"/>
      <c r="I17" s="1"/>
      <c r="M17" s="1"/>
    </row>
    <row r="18" spans="1:13" ht="13" thickBot="1">
      <c r="A18" s="7" t="s">
        <v>29</v>
      </c>
      <c r="B18" s="35">
        <v>250</v>
      </c>
      <c r="C18" s="38">
        <f>D18*E18</f>
        <v>20.8</v>
      </c>
      <c r="D18" s="32">
        <f>ROUND((+B18/9.6),0)</f>
        <v>26</v>
      </c>
      <c r="E18" s="38">
        <f>ROUND((IF(B18&gt;0,(((+$C$10+(B18/2))+1400)/1000)/4.41,0)+0),1)</f>
        <v>0.8</v>
      </c>
      <c r="F18" s="6"/>
      <c r="G18" s="6"/>
      <c r="H18" s="24"/>
      <c r="I18" s="5"/>
      <c r="M18" s="1"/>
    </row>
    <row r="19" spans="1:13" ht="13" thickBot="1">
      <c r="A19" s="7" t="s">
        <v>30</v>
      </c>
      <c r="B19" s="6"/>
      <c r="C19" s="38">
        <f>D19*E19</f>
        <v>4.08</v>
      </c>
      <c r="D19" s="33">
        <f>D18-2</f>
        <v>24</v>
      </c>
      <c r="E19" s="45">
        <v>0.17</v>
      </c>
      <c r="F19" s="15"/>
      <c r="G19" s="8" t="s">
        <v>92</v>
      </c>
      <c r="H19" s="7"/>
      <c r="I19" s="5"/>
      <c r="J19" s="1"/>
      <c r="M19" s="1"/>
    </row>
    <row r="20" spans="1:13" ht="13" thickBot="1">
      <c r="A20" s="158" t="s">
        <v>148</v>
      </c>
      <c r="B20" s="6"/>
      <c r="C20" s="38">
        <f>D20*E20</f>
        <v>1.2</v>
      </c>
      <c r="D20" s="33">
        <v>4</v>
      </c>
      <c r="E20" s="6">
        <v>0.3</v>
      </c>
      <c r="F20" s="15"/>
      <c r="G20" s="8" t="s">
        <v>92</v>
      </c>
      <c r="H20" s="7"/>
      <c r="I20" s="5"/>
      <c r="J20" s="1"/>
    </row>
    <row r="21" spans="1:13" ht="13" thickBot="1">
      <c r="A21" s="158" t="s">
        <v>104</v>
      </c>
      <c r="B21" s="6"/>
      <c r="C21" s="38">
        <f>D21*E21</f>
        <v>0</v>
      </c>
      <c r="D21" s="34">
        <v>0</v>
      </c>
      <c r="E21" s="15">
        <v>1</v>
      </c>
      <c r="F21" s="15"/>
      <c r="G21" s="8" t="s">
        <v>92</v>
      </c>
      <c r="H21" s="7"/>
      <c r="I21" s="5"/>
      <c r="J21" s="1"/>
      <c r="M21" s="1"/>
    </row>
    <row r="22" spans="1:13" ht="13" thickBot="1">
      <c r="A22" s="7" t="s">
        <v>31</v>
      </c>
      <c r="B22" s="35"/>
      <c r="C22" s="38">
        <f>IF(B22&gt;B18,(+D22*E22)+((B22-B18)/F22),0)</f>
        <v>0</v>
      </c>
      <c r="D22" s="32">
        <f>IF(B22&gt;B18,ROUND(((+B22-B18)/9.6),0),0)</f>
        <v>0</v>
      </c>
      <c r="E22" s="38">
        <f>ROUND(IF(B22&gt;B18,((((+$C$10+($B$22/2))+1200)/1000)/3.28),0),1)</f>
        <v>0</v>
      </c>
      <c r="F22" s="39">
        <v>12</v>
      </c>
      <c r="G22" s="8" t="s">
        <v>92</v>
      </c>
      <c r="H22" s="7"/>
      <c r="I22" s="5"/>
      <c r="M22" s="1"/>
    </row>
    <row r="23" spans="1:13" ht="13" thickBot="1">
      <c r="A23" s="12" t="s">
        <v>32</v>
      </c>
      <c r="B23" s="35"/>
      <c r="C23" s="38">
        <f>IF(B23&gt;B22,(D23*E23)+((B23-B22)/F23),0)</f>
        <v>0</v>
      </c>
      <c r="D23" s="32">
        <f>IF(B23&gt;B22,ROUND(((+B23-B22)/9.6),0),0)</f>
        <v>0</v>
      </c>
      <c r="E23" s="38">
        <f>ROUND(IF(B23&gt;B22,((((+$C$10+($B$23/2))+1200)/1000)/3.28),0),1)</f>
        <v>0</v>
      </c>
      <c r="F23" s="39">
        <v>2</v>
      </c>
      <c r="G23" s="8" t="s">
        <v>92</v>
      </c>
      <c r="H23" s="7"/>
      <c r="I23" s="5"/>
      <c r="M23" s="1"/>
    </row>
    <row r="24" spans="1:13" ht="13" thickBot="1">
      <c r="A24" s="7" t="s">
        <v>33</v>
      </c>
      <c r="B24" s="13">
        <f>MAX(B18:B23)</f>
        <v>250</v>
      </c>
      <c r="C24" s="39">
        <f>IF(B24&gt;0,(B24/28.5/20),0)</f>
        <v>0.43859649122807021</v>
      </c>
      <c r="D24" s="8" t="s">
        <v>92</v>
      </c>
      <c r="E24" s="6"/>
      <c r="F24" s="6"/>
      <c r="G24" s="6"/>
      <c r="H24" s="7"/>
      <c r="I24" s="5"/>
      <c r="M24" s="1"/>
    </row>
    <row r="25" spans="1:13" ht="13" thickBot="1">
      <c r="A25" s="7"/>
      <c r="B25" s="13"/>
      <c r="C25" s="10" t="s">
        <v>34</v>
      </c>
      <c r="D25" s="8"/>
      <c r="E25" s="6"/>
      <c r="F25" s="6"/>
      <c r="G25" s="6"/>
      <c r="H25" s="7"/>
      <c r="I25" s="5"/>
      <c r="M25" s="1"/>
    </row>
    <row r="26" spans="1:13" ht="15" customHeight="1" thickBot="1">
      <c r="A26" s="12"/>
      <c r="B26" s="91" t="s">
        <v>35</v>
      </c>
      <c r="C26" s="90">
        <f>SUM(C16:C24)</f>
        <v>32.676491228070176</v>
      </c>
      <c r="D26" s="92" t="s">
        <v>36</v>
      </c>
      <c r="E26" s="93">
        <f>C26/24</f>
        <v>1.3615204678362574</v>
      </c>
      <c r="F26" s="94" t="s">
        <v>37</v>
      </c>
      <c r="G26" s="6"/>
      <c r="H26" s="7"/>
      <c r="I26" s="5"/>
      <c r="M26" s="1"/>
    </row>
    <row r="27" spans="1:13" ht="7.75" customHeight="1" thickBot="1">
      <c r="A27" s="12"/>
      <c r="B27" s="91"/>
      <c r="C27" s="94"/>
      <c r="D27" s="94"/>
      <c r="E27" s="94"/>
      <c r="F27" s="94"/>
      <c r="G27" s="6"/>
      <c r="H27" s="7"/>
      <c r="I27" s="5"/>
      <c r="M27" s="1"/>
    </row>
    <row r="28" spans="1:13" s="55" customFormat="1" ht="7.75" customHeight="1" thickTop="1" thickBot="1">
      <c r="A28" s="46"/>
      <c r="B28" s="47"/>
      <c r="C28" s="47"/>
      <c r="D28" s="48"/>
      <c r="E28" s="47"/>
      <c r="F28" s="48"/>
      <c r="G28" s="48"/>
      <c r="H28" s="144"/>
      <c r="I28" s="145"/>
      <c r="M28" s="56"/>
    </row>
    <row r="29" spans="1:13" ht="13" thickBot="1">
      <c r="A29" s="147" t="s">
        <v>38</v>
      </c>
      <c r="B29" s="6"/>
      <c r="C29" s="6"/>
      <c r="D29" s="6"/>
      <c r="E29" s="6"/>
      <c r="F29" s="6"/>
      <c r="G29" s="6"/>
      <c r="H29" s="6"/>
      <c r="M29" s="1"/>
    </row>
    <row r="30" spans="1:13" ht="13" thickTop="1">
      <c r="A30" s="27" t="s">
        <v>17</v>
      </c>
      <c r="B30" s="29" t="s">
        <v>18</v>
      </c>
      <c r="C30" s="27" t="s">
        <v>19</v>
      </c>
      <c r="D30" s="27" t="s">
        <v>20</v>
      </c>
      <c r="E30" s="31" t="s">
        <v>21</v>
      </c>
      <c r="F30" s="27" t="s">
        <v>22</v>
      </c>
      <c r="G30" s="6"/>
      <c r="H30" s="7"/>
      <c r="M30" s="1"/>
    </row>
    <row r="31" spans="1:13" ht="13" thickBot="1">
      <c r="A31" s="28"/>
      <c r="B31" s="30" t="s">
        <v>23</v>
      </c>
      <c r="C31" s="30" t="s">
        <v>24</v>
      </c>
      <c r="D31" s="139" t="s">
        <v>25</v>
      </c>
      <c r="E31" s="30" t="s">
        <v>24</v>
      </c>
      <c r="F31" s="139" t="s">
        <v>26</v>
      </c>
      <c r="G31" s="6"/>
      <c r="H31" s="7"/>
      <c r="M31" s="1"/>
    </row>
    <row r="32" spans="1:13" ht="14" thickTop="1" thickBot="1">
      <c r="A32" s="12" t="s">
        <v>39</v>
      </c>
      <c r="B32" s="7">
        <v>0</v>
      </c>
      <c r="C32" s="39">
        <v>1</v>
      </c>
      <c r="D32" s="8" t="s">
        <v>92</v>
      </c>
      <c r="E32" s="6"/>
      <c r="F32" s="6"/>
      <c r="G32" s="6"/>
      <c r="H32" s="7"/>
      <c r="I32" s="3"/>
      <c r="M32" s="1"/>
    </row>
    <row r="33" spans="1:13" ht="13" thickBot="1">
      <c r="A33" s="7" t="s">
        <v>28</v>
      </c>
      <c r="B33" s="13">
        <f>C21</f>
        <v>0</v>
      </c>
      <c r="C33" s="38">
        <f>IF(B33&gt;0,(B33/28.4/20)+2,0)</f>
        <v>0</v>
      </c>
      <c r="D33" s="6"/>
      <c r="E33" s="6"/>
      <c r="F33" s="6"/>
      <c r="G33" s="6"/>
      <c r="H33" s="7"/>
      <c r="I33" s="1"/>
      <c r="M33" s="1"/>
    </row>
    <row r="34" spans="1:13" ht="13" thickBot="1">
      <c r="A34" s="7" t="s">
        <v>29</v>
      </c>
      <c r="B34" s="35">
        <v>250</v>
      </c>
      <c r="C34" s="38">
        <f>D34*E34</f>
        <v>20.8</v>
      </c>
      <c r="D34" s="32">
        <f>ROUND((+B34/9.6),0)</f>
        <v>26</v>
      </c>
      <c r="E34" s="38">
        <f>ROUND((IF(B34&gt;0,(((+$C$10+(B34/2))+1400)/1000)/4.411765,0)+0),1)</f>
        <v>0.8</v>
      </c>
      <c r="F34" s="6"/>
      <c r="G34" s="6"/>
      <c r="H34" s="24"/>
      <c r="I34" s="5"/>
      <c r="M34" s="1"/>
    </row>
    <row r="35" spans="1:13" ht="13" thickBot="1">
      <c r="A35" s="7" t="s">
        <v>30</v>
      </c>
      <c r="B35" s="6"/>
      <c r="C35" s="38">
        <f>D35*E35</f>
        <v>4.08</v>
      </c>
      <c r="D35" s="33">
        <v>24</v>
      </c>
      <c r="E35" s="45">
        <v>0.17</v>
      </c>
      <c r="F35" s="15"/>
      <c r="G35" s="8" t="s">
        <v>92</v>
      </c>
      <c r="H35" s="7"/>
      <c r="I35" s="5"/>
      <c r="J35" s="1"/>
      <c r="M35" s="1"/>
    </row>
    <row r="36" spans="1:13" ht="13" thickBot="1">
      <c r="A36" s="7" t="s">
        <v>31</v>
      </c>
      <c r="B36" s="35">
        <v>0</v>
      </c>
      <c r="C36" s="38">
        <f>IF(B36&gt;0,(+D36*E36)+((B36-B34)/F36),0)</f>
        <v>0</v>
      </c>
      <c r="D36" s="32">
        <f>IF(B36&gt;B34,ROUND(((+B36-B34)/9.6),0),0)</f>
        <v>0</v>
      </c>
      <c r="E36" s="38">
        <f>ROUND(IF(B36&gt;B34,((((+$C$10+($B$36/2))+1200)/1000)/3.28),0),1)</f>
        <v>0</v>
      </c>
      <c r="F36" s="39">
        <v>12</v>
      </c>
      <c r="G36" s="8" t="s">
        <v>92</v>
      </c>
      <c r="H36" s="7"/>
      <c r="I36" s="5"/>
      <c r="M36" s="1"/>
    </row>
    <row r="37" spans="1:13" ht="13" thickBot="1">
      <c r="A37" s="12" t="s">
        <v>32</v>
      </c>
      <c r="B37" s="35">
        <v>0</v>
      </c>
      <c r="C37" s="38">
        <f>IF(B37&gt;B36,(D37*E37)+((B37-B36)/F37),0)</f>
        <v>0</v>
      </c>
      <c r="D37" s="32">
        <f>IF(B37&gt;B36,ROUND(((+B37-B36)/9.6),0),0)</f>
        <v>0</v>
      </c>
      <c r="E37" s="38">
        <f>ROUND(IF(B37&gt;B36,((((+$C$10+($B$37/2))+1200)/1000)/3.28),0),1)</f>
        <v>0</v>
      </c>
      <c r="F37" s="39">
        <v>2</v>
      </c>
      <c r="G37" s="8" t="s">
        <v>92</v>
      </c>
      <c r="H37" s="7"/>
      <c r="I37" s="5"/>
      <c r="M37" s="1"/>
    </row>
    <row r="38" spans="1:13" ht="13" thickBot="1">
      <c r="A38" s="7" t="s">
        <v>33</v>
      </c>
      <c r="B38" s="13">
        <f>MAX(B34:B37)</f>
        <v>250</v>
      </c>
      <c r="C38" s="39">
        <f>IF(B38&gt;0,(B38/28.5/20),0)</f>
        <v>0.43859649122807021</v>
      </c>
      <c r="D38" s="8" t="s">
        <v>92</v>
      </c>
      <c r="E38" s="6"/>
      <c r="F38" s="6"/>
      <c r="G38" s="6"/>
      <c r="H38" s="7"/>
      <c r="I38" s="5"/>
      <c r="M38" s="1"/>
    </row>
    <row r="39" spans="1:13" ht="13" thickBot="1">
      <c r="A39" s="7"/>
      <c r="B39" s="13"/>
      <c r="C39" s="10" t="s">
        <v>40</v>
      </c>
      <c r="D39" s="8"/>
      <c r="E39" s="6"/>
      <c r="F39" s="6"/>
      <c r="G39" s="6"/>
      <c r="H39" s="7"/>
      <c r="I39" s="5"/>
      <c r="M39" s="1"/>
    </row>
    <row r="40" spans="1:13" ht="13" thickBot="1">
      <c r="A40" s="12"/>
      <c r="B40" s="91" t="s">
        <v>41</v>
      </c>
      <c r="C40" s="90">
        <f>SUM(C32:C38)</f>
        <v>26.318596491228071</v>
      </c>
      <c r="D40" s="92" t="s">
        <v>36</v>
      </c>
      <c r="E40" s="93">
        <f>C40/24</f>
        <v>1.096608187134503</v>
      </c>
      <c r="F40" s="94" t="s">
        <v>37</v>
      </c>
      <c r="G40" s="6"/>
      <c r="H40" s="7"/>
      <c r="I40" s="5"/>
      <c r="M40" s="1"/>
    </row>
    <row r="41" spans="1:13" ht="7.75" customHeight="1" thickBot="1">
      <c r="A41" s="12"/>
      <c r="B41" s="17"/>
      <c r="C41" s="17"/>
      <c r="D41" s="6"/>
      <c r="E41" s="17"/>
      <c r="F41" s="6"/>
      <c r="G41" s="6"/>
      <c r="H41" s="7"/>
      <c r="I41" s="5"/>
      <c r="M41" s="1"/>
    </row>
    <row r="42" spans="1:13" ht="7" customHeight="1" thickTop="1" thickBot="1">
      <c r="A42" s="46"/>
      <c r="B42" s="47"/>
      <c r="C42" s="47"/>
      <c r="D42" s="48"/>
      <c r="E42" s="47"/>
      <c r="F42" s="48"/>
      <c r="G42" s="48"/>
      <c r="H42" s="7"/>
      <c r="I42" s="5"/>
      <c r="M42" s="1"/>
    </row>
    <row r="43" spans="1:13" ht="13" thickBot="1">
      <c r="A43" s="147" t="s">
        <v>42</v>
      </c>
      <c r="B43" s="6"/>
      <c r="C43" s="6"/>
      <c r="D43" s="6"/>
      <c r="E43" s="6"/>
      <c r="F43" s="6"/>
      <c r="G43" s="6"/>
      <c r="H43" s="6"/>
      <c r="M43" s="1"/>
    </row>
    <row r="44" spans="1:13" ht="13" thickTop="1">
      <c r="A44" s="27" t="s">
        <v>17</v>
      </c>
      <c r="B44" s="29" t="s">
        <v>18</v>
      </c>
      <c r="C44" s="27" t="s">
        <v>19</v>
      </c>
      <c r="D44" s="27" t="s">
        <v>20</v>
      </c>
      <c r="E44" s="31" t="s">
        <v>21</v>
      </c>
      <c r="F44" s="27" t="s">
        <v>22</v>
      </c>
      <c r="G44" s="6"/>
      <c r="H44" s="7"/>
      <c r="M44" s="1"/>
    </row>
    <row r="45" spans="1:13" ht="13" thickBot="1">
      <c r="A45" s="28"/>
      <c r="B45" s="30" t="s">
        <v>23</v>
      </c>
      <c r="C45" s="30" t="s">
        <v>24</v>
      </c>
      <c r="D45" s="139" t="s">
        <v>25</v>
      </c>
      <c r="E45" s="30" t="s">
        <v>24</v>
      </c>
      <c r="F45" s="139" t="s">
        <v>26</v>
      </c>
      <c r="G45" s="6"/>
      <c r="H45" s="7"/>
      <c r="M45" s="1"/>
    </row>
    <row r="46" spans="1:13" ht="14" thickTop="1" thickBot="1">
      <c r="A46" s="12" t="s">
        <v>39</v>
      </c>
      <c r="B46" s="7"/>
      <c r="C46" s="51">
        <v>1</v>
      </c>
      <c r="D46" s="8" t="s">
        <v>92</v>
      </c>
      <c r="E46" s="6"/>
      <c r="F46" s="6"/>
      <c r="G46" s="6"/>
      <c r="H46" s="7"/>
      <c r="I46" s="3"/>
      <c r="M46" s="1"/>
    </row>
    <row r="47" spans="1:13" ht="13" thickBot="1">
      <c r="A47" s="7" t="s">
        <v>29</v>
      </c>
      <c r="B47" s="35">
        <v>250</v>
      </c>
      <c r="C47" s="38">
        <f>D47*E47</f>
        <v>20.8</v>
      </c>
      <c r="D47" s="32">
        <f>ROUND((+B47/9.6),0)</f>
        <v>26</v>
      </c>
      <c r="E47" s="38">
        <f>ROUND((IF(B47&gt;0,(((+C$10+($B$47/2))+1400)/1000)/4.41,0)+0),1)</f>
        <v>0.8</v>
      </c>
      <c r="F47" s="6"/>
      <c r="G47" s="6"/>
      <c r="H47" s="7"/>
      <c r="I47" s="5"/>
      <c r="M47" s="1"/>
    </row>
    <row r="48" spans="1:13" ht="13" thickBot="1">
      <c r="A48" s="7" t="s">
        <v>31</v>
      </c>
      <c r="B48" s="35">
        <v>500</v>
      </c>
      <c r="C48" s="38">
        <f>IF(B48&gt;B47,(+D48*E48)+((B48-B47)/F48),0)</f>
        <v>34.333333333333336</v>
      </c>
      <c r="D48" s="32">
        <f>IF(B48&gt;B47,ROUND(((+B48-B47)/9.6),0),0)</f>
        <v>26</v>
      </c>
      <c r="E48" s="38">
        <f>ROUND(IF(B48&gt;B47,((((+$C$10+($B$48/2))+1200)/1000)/3.28),0),1)</f>
        <v>1</v>
      </c>
      <c r="F48" s="39">
        <v>30</v>
      </c>
      <c r="G48" s="8" t="s">
        <v>92</v>
      </c>
      <c r="H48" s="7"/>
      <c r="I48" s="5"/>
      <c r="M48" s="1"/>
    </row>
    <row r="49" spans="1:13" ht="13" thickBot="1">
      <c r="A49" s="12" t="s">
        <v>32</v>
      </c>
      <c r="B49" s="35">
        <v>700</v>
      </c>
      <c r="C49" s="38">
        <f>IF(B49&gt;B48,(D49*E49)+((B49-B48)/F49),0)</f>
        <v>31</v>
      </c>
      <c r="D49" s="32">
        <f>IF(B49&gt;B48,ROUND(((+B49-B48)/9.6),0),0)</f>
        <v>21</v>
      </c>
      <c r="E49" s="38">
        <f>ROUND(IF(B49&gt;B48,((((+$C$10+($B$49/2))+1200)/1000)/3.28),0),1)</f>
        <v>1</v>
      </c>
      <c r="F49" s="39">
        <v>20</v>
      </c>
      <c r="G49" s="8" t="s">
        <v>92</v>
      </c>
      <c r="H49" s="7"/>
      <c r="I49" s="5"/>
      <c r="M49" s="1"/>
    </row>
    <row r="50" spans="1:13" ht="13" thickBot="1">
      <c r="A50" s="7" t="s">
        <v>43</v>
      </c>
      <c r="B50" s="8" t="s">
        <v>92</v>
      </c>
      <c r="C50" s="51">
        <v>0</v>
      </c>
      <c r="D50" s="16"/>
      <c r="E50" s="15"/>
      <c r="F50" s="15"/>
      <c r="G50" s="6"/>
      <c r="H50" s="7"/>
      <c r="I50" s="5"/>
      <c r="M50" s="1"/>
    </row>
    <row r="51" spans="1:13" ht="13" thickBot="1">
      <c r="A51" s="7" t="s">
        <v>44</v>
      </c>
      <c r="B51" s="8" t="s">
        <v>92</v>
      </c>
      <c r="C51" s="51">
        <v>0</v>
      </c>
      <c r="D51" s="20" t="s">
        <v>92</v>
      </c>
      <c r="E51" s="6"/>
      <c r="F51" s="15"/>
      <c r="G51" s="6"/>
      <c r="H51" s="7"/>
      <c r="I51" s="5"/>
      <c r="M51" s="1"/>
    </row>
    <row r="52" spans="1:13" ht="13" thickBot="1">
      <c r="A52" s="12" t="s">
        <v>45</v>
      </c>
      <c r="B52" s="193">
        <f>IF(C51&gt;0, C10+100, MAX(B47:B49)+C10)</f>
        <v>2500</v>
      </c>
      <c r="C52" s="38">
        <f>IF(B52&gt;0,(B52/28.5/20)+2,0)</f>
        <v>6.3859649122807021</v>
      </c>
      <c r="D52" s="8" t="s">
        <v>92</v>
      </c>
      <c r="E52" s="6"/>
      <c r="F52" s="6"/>
      <c r="G52" s="6"/>
      <c r="H52" s="7"/>
      <c r="I52" s="5"/>
      <c r="M52" s="1"/>
    </row>
    <row r="53" spans="1:13" ht="13" customHeight="1" thickBot="1">
      <c r="A53" s="12"/>
      <c r="B53" s="6"/>
      <c r="C53" s="10" t="s">
        <v>34</v>
      </c>
      <c r="D53" s="8"/>
      <c r="E53" s="6"/>
      <c r="F53" s="6"/>
      <c r="G53" s="6"/>
      <c r="H53" s="7"/>
      <c r="I53" s="5"/>
      <c r="M53" s="1"/>
    </row>
    <row r="54" spans="1:13" ht="13" thickBot="1">
      <c r="A54" s="12"/>
      <c r="B54" s="91" t="s">
        <v>46</v>
      </c>
      <c r="C54" s="90">
        <f>SUM(C46:C52)</f>
        <v>93.519298245614038</v>
      </c>
      <c r="D54" s="92" t="s">
        <v>36</v>
      </c>
      <c r="E54" s="93">
        <f>C54/24</f>
        <v>3.8966374269005848</v>
      </c>
      <c r="F54" s="94" t="s">
        <v>37</v>
      </c>
      <c r="G54" s="6"/>
      <c r="H54" s="7"/>
      <c r="I54" s="5"/>
      <c r="M54" s="1"/>
    </row>
    <row r="55" spans="1:13" ht="7.75" customHeight="1" thickBot="1">
      <c r="A55" s="12"/>
      <c r="B55" s="17"/>
      <c r="C55" s="17"/>
      <c r="D55" s="6"/>
      <c r="E55" s="17"/>
      <c r="F55" s="6"/>
      <c r="G55" s="6"/>
      <c r="H55" s="7"/>
      <c r="I55" s="5"/>
      <c r="M55" s="1"/>
    </row>
    <row r="56" spans="1:13" ht="7.75" customHeight="1" thickTop="1" thickBot="1">
      <c r="A56" s="46"/>
      <c r="B56" s="47"/>
      <c r="C56" s="47"/>
      <c r="D56" s="48"/>
      <c r="E56" s="47"/>
      <c r="F56" s="48"/>
      <c r="G56" s="48"/>
      <c r="H56" s="7"/>
      <c r="I56" s="5"/>
      <c r="M56" s="1"/>
    </row>
    <row r="57" spans="1:13" ht="16" thickBot="1">
      <c r="A57" s="57" t="s">
        <v>47</v>
      </c>
      <c r="B57" s="58"/>
      <c r="C57" s="59"/>
      <c r="D57" s="60"/>
      <c r="E57" s="60"/>
      <c r="F57" s="61"/>
      <c r="G57" s="59"/>
      <c r="H57" s="95"/>
      <c r="M57" s="1"/>
    </row>
    <row r="58" spans="1:13" ht="13" thickBot="1">
      <c r="A58" s="147" t="s">
        <v>48</v>
      </c>
      <c r="B58" s="6"/>
      <c r="C58" s="15"/>
      <c r="D58" s="18"/>
      <c r="E58" s="6"/>
      <c r="F58" s="19"/>
      <c r="G58" s="6"/>
      <c r="H58" s="6"/>
      <c r="I58" s="5"/>
      <c r="M58" s="1"/>
    </row>
    <row r="59" spans="1:13" ht="13" thickTop="1">
      <c r="A59" s="27" t="s">
        <v>17</v>
      </c>
      <c r="B59" s="29" t="s">
        <v>18</v>
      </c>
      <c r="C59" s="27" t="s">
        <v>19</v>
      </c>
      <c r="D59" s="27" t="s">
        <v>20</v>
      </c>
      <c r="E59" s="31" t="s">
        <v>21</v>
      </c>
      <c r="F59" s="27" t="s">
        <v>22</v>
      </c>
      <c r="G59" s="6"/>
      <c r="H59" s="7"/>
      <c r="M59" s="1"/>
    </row>
    <row r="60" spans="1:13" ht="13" thickBot="1">
      <c r="A60" s="28"/>
      <c r="B60" s="30" t="s">
        <v>23</v>
      </c>
      <c r="C60" s="30" t="s">
        <v>24</v>
      </c>
      <c r="D60" s="139" t="s">
        <v>25</v>
      </c>
      <c r="E60" s="30" t="s">
        <v>24</v>
      </c>
      <c r="F60" s="139" t="s">
        <v>26</v>
      </c>
      <c r="G60" s="6"/>
      <c r="H60" s="7"/>
      <c r="M60" s="1"/>
    </row>
    <row r="61" spans="1:13" ht="14" thickTop="1" thickBot="1">
      <c r="A61" s="7" t="s">
        <v>28</v>
      </c>
      <c r="B61" s="13">
        <f>C10</f>
        <v>1800</v>
      </c>
      <c r="C61" s="38">
        <f>IF(B61&gt;0,(C10/1000+1.4)*1.75,0)</f>
        <v>5.6000000000000005</v>
      </c>
      <c r="D61" s="6"/>
      <c r="E61" s="6"/>
      <c r="F61" s="15"/>
      <c r="G61" s="6"/>
      <c r="H61" s="7"/>
      <c r="I61" s="1"/>
      <c r="M61" s="1"/>
    </row>
    <row r="62" spans="1:13" ht="13" thickBot="1">
      <c r="A62" s="12" t="s">
        <v>49</v>
      </c>
      <c r="B62" s="50">
        <v>700</v>
      </c>
      <c r="C62" s="38">
        <f>B62/F62+(B62/10)*0.08</f>
        <v>28.933333333333334</v>
      </c>
      <c r="D62" s="6"/>
      <c r="E62" s="6"/>
      <c r="F62" s="52">
        <v>30</v>
      </c>
      <c r="G62" s="6"/>
      <c r="H62" s="7"/>
      <c r="I62" s="5"/>
      <c r="J62" s="1"/>
      <c r="M62" s="1"/>
    </row>
    <row r="63" spans="1:13" ht="13" thickBot="1">
      <c r="A63" s="12" t="s">
        <v>50</v>
      </c>
      <c r="B63" s="50">
        <v>900</v>
      </c>
      <c r="C63" s="38">
        <f>IF(B63&gt;0,(+D63*E63)+((B63-B62)/F63),0)</f>
        <v>33.466666666666669</v>
      </c>
      <c r="D63" s="32">
        <f>ROUND(((+B63-B62)/9.6),0)</f>
        <v>21</v>
      </c>
      <c r="E63" s="38">
        <f>ROUND((IF(B63&gt;B62,(((+$C$10+(B63/2))+1400)/1000)/4.41,0)+0),1)</f>
        <v>0.8</v>
      </c>
      <c r="F63" s="53">
        <v>12</v>
      </c>
      <c r="G63" s="8" t="s">
        <v>92</v>
      </c>
      <c r="H63" s="7"/>
      <c r="I63" s="5"/>
      <c r="J63" s="1"/>
      <c r="M63" s="1"/>
    </row>
    <row r="64" spans="1:13" ht="13" thickBot="1">
      <c r="A64" s="12" t="s">
        <v>51</v>
      </c>
      <c r="B64" s="50">
        <v>1000</v>
      </c>
      <c r="C64" s="38">
        <f>IF(B64&gt;0,(+D64*E64)+((B64-B63)/F64),0)</f>
        <v>23.5</v>
      </c>
      <c r="D64" s="32">
        <f>IF(B64&gt;0,ROUND(((+B64-B63)/9.6),0),0)</f>
        <v>10</v>
      </c>
      <c r="E64" s="38">
        <f>ROUND(IF(B64&gt;B63,((((+$C$10+(($B$64)/2))+1200)/1000)/3.28),0),1)</f>
        <v>1.1000000000000001</v>
      </c>
      <c r="F64" s="51">
        <v>8</v>
      </c>
      <c r="G64" s="8" t="s">
        <v>92</v>
      </c>
      <c r="H64" s="7"/>
      <c r="I64" s="5"/>
      <c r="J64" s="1"/>
      <c r="M64" s="1"/>
    </row>
    <row r="65" spans="1:13" ht="13" thickBot="1">
      <c r="A65" s="12" t="s">
        <v>52</v>
      </c>
      <c r="B65" s="50">
        <v>1100</v>
      </c>
      <c r="C65" s="38">
        <f>IF(B65&gt;0,(+D65*E65)+((B65-B64)/F65),0)</f>
        <v>44.333333333333336</v>
      </c>
      <c r="D65" s="32">
        <f>IF(B65&gt;0,ROUND(((+B65-B64)/9.6),0),0)</f>
        <v>10</v>
      </c>
      <c r="E65" s="38">
        <f>ROUND(IF(B65&gt;B64,((((+$C$10+(($B$65)/2))+1200)/1000)/3.28),0),1)</f>
        <v>1.1000000000000001</v>
      </c>
      <c r="F65" s="51">
        <v>3</v>
      </c>
      <c r="G65" s="8" t="s">
        <v>92</v>
      </c>
      <c r="H65" s="7"/>
      <c r="I65" s="5"/>
      <c r="J65" s="1"/>
    </row>
    <row r="66" spans="1:13" ht="13" thickBot="1">
      <c r="A66" s="12" t="s">
        <v>53</v>
      </c>
      <c r="B66" s="50">
        <v>0</v>
      </c>
      <c r="C66" s="38">
        <f>IF(B66&gt;0,(+D66*E66)+((B66-B65)/F66),0)</f>
        <v>0</v>
      </c>
      <c r="D66" s="32">
        <f>IF(B66&gt;0,ROUND(((+B66-B65)/9.6),0),0)</f>
        <v>0</v>
      </c>
      <c r="E66" s="38">
        <f>ROUND(IF(B66&gt;B65,((((+$C$10+(($B$65)/2))+1200)/1000)/3.28),0),1)</f>
        <v>0</v>
      </c>
      <c r="F66" s="51">
        <v>3</v>
      </c>
      <c r="G66" s="8" t="s">
        <v>92</v>
      </c>
      <c r="H66" s="7"/>
      <c r="I66" s="5"/>
      <c r="J66" s="1"/>
    </row>
    <row r="67" spans="1:13" ht="13" thickBot="1">
      <c r="A67" s="12" t="s">
        <v>54</v>
      </c>
      <c r="B67" s="12"/>
      <c r="C67" s="38">
        <f>D67*E67</f>
        <v>0</v>
      </c>
      <c r="D67" s="102">
        <f>MAX(ROUND(((C62/F62)+IF(B63&gt;0,(B63-B62)/F63,0)+IF(B64&gt;0,(B64-B63)/F64,0)+IF(B65&gt;0,(B65-B64)/F65,0)+IF(B66&gt;0,(B66-B65)/F66,0))/50,0)-1,0)</f>
        <v>0</v>
      </c>
      <c r="E67" s="38">
        <f>IF(SUM(D63:D66)&gt;0,((C10+B64)/1000+1.4)*1.75,0)*2</f>
        <v>14.699999999999998</v>
      </c>
      <c r="F67" s="6"/>
      <c r="G67" s="8"/>
      <c r="H67" s="7"/>
      <c r="I67" s="5"/>
      <c r="J67" s="1"/>
    </row>
    <row r="68" spans="1:13" ht="13" thickBot="1">
      <c r="A68" s="12" t="s">
        <v>55</v>
      </c>
      <c r="B68" s="8" t="s">
        <v>92</v>
      </c>
      <c r="C68" s="51">
        <v>8</v>
      </c>
      <c r="D68" s="16"/>
      <c r="E68" s="15"/>
      <c r="F68" s="15"/>
      <c r="G68" s="6"/>
      <c r="H68" s="7"/>
      <c r="I68" s="5"/>
      <c r="M68" s="1"/>
    </row>
    <row r="69" spans="1:13" ht="13" thickBot="1">
      <c r="A69" s="7" t="s">
        <v>44</v>
      </c>
      <c r="B69" s="8" t="s">
        <v>92</v>
      </c>
      <c r="C69" s="51">
        <v>34</v>
      </c>
      <c r="D69" s="203">
        <f>32/24</f>
        <v>1.3333333333333333</v>
      </c>
      <c r="E69" s="6"/>
      <c r="F69" s="15"/>
      <c r="G69" s="6"/>
      <c r="H69" s="7"/>
      <c r="I69" s="5"/>
      <c r="M69" s="1"/>
    </row>
    <row r="70" spans="1:13" ht="13" thickBot="1">
      <c r="A70" s="12" t="s">
        <v>56</v>
      </c>
      <c r="B70" s="6">
        <f>IF(C69&gt;0, C10+100, MAX(B63:B66)+C10)</f>
        <v>1900</v>
      </c>
      <c r="C70" s="38">
        <f>IF(B70&gt;0,(B70/28.5/20)+2,0)</f>
        <v>5.3333333333333339</v>
      </c>
      <c r="D70" s="8" t="s">
        <v>92</v>
      </c>
      <c r="E70" s="6"/>
      <c r="F70" s="6"/>
      <c r="G70" s="6"/>
      <c r="H70" s="7"/>
      <c r="I70" s="5"/>
      <c r="J70" s="1"/>
      <c r="M70" s="1"/>
    </row>
    <row r="71" spans="1:13" ht="13" thickBot="1">
      <c r="A71" s="12"/>
      <c r="B71" s="6"/>
      <c r="C71" s="21" t="s">
        <v>57</v>
      </c>
      <c r="D71" s="8"/>
      <c r="E71" s="6"/>
      <c r="F71" s="6"/>
      <c r="G71" s="6"/>
      <c r="H71" s="6"/>
      <c r="I71" s="5"/>
      <c r="J71" s="1"/>
      <c r="M71" s="1"/>
    </row>
    <row r="72" spans="1:13" ht="13" thickBot="1">
      <c r="A72" s="6"/>
      <c r="B72" s="101" t="s">
        <v>58</v>
      </c>
      <c r="C72" s="96">
        <f>SUM(C61:C70)</f>
        <v>183.16666666666669</v>
      </c>
      <c r="D72" s="97" t="s">
        <v>36</v>
      </c>
      <c r="E72" s="98">
        <f>C72/24</f>
        <v>7.6319444444444455</v>
      </c>
      <c r="F72" s="99" t="s">
        <v>37</v>
      </c>
      <c r="G72" s="6"/>
      <c r="H72" s="6"/>
      <c r="I72" s="5"/>
      <c r="M72" s="1"/>
    </row>
    <row r="73" spans="1:13" ht="13" thickBot="1">
      <c r="A73" s="6"/>
      <c r="B73" s="6"/>
      <c r="C73" s="21" t="s">
        <v>57</v>
      </c>
      <c r="D73" s="6"/>
      <c r="E73" s="6"/>
      <c r="F73" s="6"/>
      <c r="G73" s="6"/>
      <c r="H73" s="6"/>
      <c r="M73" s="1"/>
    </row>
    <row r="74" spans="1:13" ht="13" thickBot="1">
      <c r="A74" s="6"/>
      <c r="B74" s="91" t="s">
        <v>137</v>
      </c>
      <c r="C74" s="98">
        <f>C26+C40+C54+C72</f>
        <v>335.68105263157895</v>
      </c>
      <c r="D74" s="22" t="s">
        <v>36</v>
      </c>
      <c r="E74" s="98">
        <f>C74/24</f>
        <v>13.98671052631579</v>
      </c>
      <c r="F74" s="100" t="s">
        <v>37</v>
      </c>
      <c r="G74" s="6"/>
      <c r="H74" s="6"/>
      <c r="M74" s="1"/>
    </row>
    <row r="75" spans="1:13" s="55" customFormat="1" ht="13" thickBot="1">
      <c r="A75" s="54"/>
      <c r="B75" s="54"/>
      <c r="C75" s="54"/>
      <c r="D75" s="54"/>
      <c r="E75" s="54"/>
      <c r="F75" s="54"/>
      <c r="G75" s="54"/>
      <c r="H75" s="49"/>
      <c r="M75" s="56"/>
    </row>
    <row r="76" spans="1:13" ht="6" customHeight="1" thickTop="1" thickBot="1">
      <c r="A76" s="54"/>
      <c r="B76" s="54"/>
      <c r="C76" s="54"/>
      <c r="D76" s="54"/>
      <c r="E76" s="54"/>
      <c r="F76" s="54"/>
      <c r="G76" s="54"/>
      <c r="H76" s="6"/>
      <c r="M76" s="1"/>
    </row>
    <row r="77" spans="1:13" ht="13" thickTop="1">
      <c r="M77" s="1"/>
    </row>
    <row r="78" spans="1:13">
      <c r="M78" s="1"/>
    </row>
    <row r="79" spans="1:13">
      <c r="A79" s="1"/>
      <c r="M79" s="1"/>
    </row>
    <row r="80" spans="1:13">
      <c r="A80" s="1"/>
      <c r="M80" s="1"/>
    </row>
    <row r="81" spans="1:14">
      <c r="A81" s="4"/>
      <c r="B81" s="4"/>
      <c r="G81" s="4"/>
      <c r="M81" s="1"/>
    </row>
    <row r="82" spans="1:14">
      <c r="A82" s="1"/>
      <c r="F82" s="4"/>
      <c r="M82" s="1"/>
    </row>
    <row r="83" spans="1:14">
      <c r="A83" s="4"/>
      <c r="B83" s="4"/>
      <c r="C83" s="4"/>
      <c r="D83" s="4"/>
      <c r="E83" s="4"/>
      <c r="G83" s="4"/>
      <c r="M83" s="1"/>
    </row>
    <row r="84" spans="1:14">
      <c r="F84" s="4"/>
      <c r="L84" s="1"/>
      <c r="M84" s="1"/>
      <c r="N84" s="1"/>
    </row>
    <row r="85" spans="1:14">
      <c r="C85" s="4"/>
      <c r="D85" s="4"/>
      <c r="E85" s="4"/>
      <c r="M85" s="1"/>
    </row>
    <row r="86" spans="1:14">
      <c r="B86" s="1"/>
      <c r="M86" s="1"/>
    </row>
    <row r="87" spans="1:14">
      <c r="M87" s="1"/>
    </row>
    <row r="88" spans="1:14">
      <c r="M88" s="1"/>
    </row>
    <row r="90" spans="1:14">
      <c r="A90" s="1"/>
    </row>
    <row r="92" spans="1:14">
      <c r="A92" s="1"/>
    </row>
    <row r="95" spans="1:14">
      <c r="B95" s="1"/>
    </row>
    <row r="98" spans="1:7">
      <c r="A98" s="4"/>
      <c r="B98" s="4"/>
      <c r="G98" s="4"/>
    </row>
    <row r="99" spans="1:7">
      <c r="F99" s="4"/>
    </row>
    <row r="100" spans="1:7">
      <c r="A100" s="4"/>
      <c r="B100" s="4"/>
      <c r="C100" s="4"/>
      <c r="D100" s="4"/>
      <c r="E100" s="4"/>
      <c r="G100" s="4"/>
    </row>
    <row r="101" spans="1:7">
      <c r="F101" s="4"/>
    </row>
    <row r="102" spans="1:7">
      <c r="A102" s="1"/>
      <c r="C102" s="4"/>
      <c r="D102" s="4"/>
      <c r="E102" s="4"/>
    </row>
    <row r="103" spans="1:7">
      <c r="A103" s="4"/>
      <c r="B103" s="4"/>
      <c r="G103" s="4"/>
    </row>
    <row r="104" spans="1:7">
      <c r="A104" s="1"/>
      <c r="F104" s="4"/>
    </row>
    <row r="105" spans="1:7">
      <c r="A105" s="4"/>
      <c r="B105" s="4"/>
      <c r="C105" s="4"/>
      <c r="D105" s="4"/>
      <c r="E105" s="4"/>
      <c r="G105" s="4"/>
    </row>
    <row r="106" spans="1:7">
      <c r="F106" s="4"/>
    </row>
    <row r="107" spans="1:7">
      <c r="C107" s="4"/>
      <c r="D107" s="4"/>
      <c r="E107" s="4"/>
      <c r="F107" s="3"/>
    </row>
    <row r="108" spans="1:7">
      <c r="A108" s="2"/>
      <c r="B108" s="5"/>
      <c r="E108" s="3"/>
      <c r="F108" s="4"/>
    </row>
    <row r="109" spans="1:7">
      <c r="A109" s="2"/>
      <c r="B109" s="5"/>
      <c r="E109" s="4"/>
      <c r="F109" s="5"/>
    </row>
    <row r="110" spans="1:7">
      <c r="A110" s="2"/>
      <c r="B110" s="5"/>
      <c r="D110" s="2"/>
      <c r="F110" s="5"/>
    </row>
    <row r="111" spans="1:7">
      <c r="A111" s="2"/>
      <c r="B111" s="5"/>
      <c r="C111" s="1"/>
      <c r="D111" s="2"/>
      <c r="F111" s="5"/>
    </row>
    <row r="112" spans="1:7">
      <c r="A112" s="2"/>
      <c r="B112" s="5"/>
      <c r="D112" s="2"/>
      <c r="F112" s="5"/>
    </row>
    <row r="113" spans="1:7">
      <c r="A113" s="2"/>
      <c r="B113" s="5"/>
      <c r="D113" s="2"/>
      <c r="F113" s="5"/>
    </row>
    <row r="114" spans="1:7">
      <c r="A114" s="2"/>
      <c r="B114" s="5"/>
      <c r="D114" s="2"/>
      <c r="F114" s="5"/>
    </row>
    <row r="115" spans="1:7">
      <c r="A115" s="2"/>
      <c r="B115" s="5"/>
      <c r="D115" s="2"/>
      <c r="F115" s="5"/>
    </row>
    <row r="116" spans="1:7">
      <c r="D116" s="2"/>
      <c r="F116" s="5"/>
    </row>
    <row r="117" spans="1:7">
      <c r="B117" s="2"/>
      <c r="D117" s="2"/>
    </row>
    <row r="118" spans="1:7">
      <c r="B118" s="2"/>
    </row>
    <row r="119" spans="1:7">
      <c r="C119" s="5"/>
    </row>
    <row r="120" spans="1:7">
      <c r="A120" s="4"/>
      <c r="B120" s="4"/>
      <c r="C120" s="5"/>
      <c r="G120" s="4"/>
    </row>
    <row r="121" spans="1:7">
      <c r="B121" s="1"/>
      <c r="F121" s="4"/>
    </row>
    <row r="122" spans="1:7">
      <c r="A122" s="4"/>
      <c r="B122" s="4"/>
      <c r="C122" s="4"/>
      <c r="D122" s="4"/>
      <c r="E122" s="4"/>
      <c r="G122" s="4"/>
    </row>
    <row r="123" spans="1:7">
      <c r="F123" s="4"/>
    </row>
    <row r="124" spans="1:7">
      <c r="C124" s="4"/>
      <c r="D124" s="4"/>
      <c r="E124" s="4"/>
    </row>
    <row r="129" spans="12:15">
      <c r="M129" s="1"/>
    </row>
    <row r="130" spans="12:15">
      <c r="N130" s="1"/>
    </row>
    <row r="132" spans="12:15">
      <c r="M132" s="1"/>
    </row>
    <row r="134" spans="12:15">
      <c r="L134" s="1"/>
      <c r="M134" s="1"/>
    </row>
    <row r="136" spans="12:15">
      <c r="L136" s="1"/>
      <c r="M136" s="1"/>
      <c r="N136" s="1"/>
    </row>
    <row r="137" spans="12:15">
      <c r="M137" s="1"/>
      <c r="N137" s="1"/>
    </row>
    <row r="138" spans="12:15">
      <c r="M138" s="1"/>
      <c r="N138" s="1"/>
    </row>
    <row r="139" spans="12:15">
      <c r="L139" s="1"/>
    </row>
    <row r="140" spans="12:15">
      <c r="L140" s="1"/>
      <c r="M140" s="1"/>
    </row>
    <row r="141" spans="12:15">
      <c r="M141" s="1"/>
    </row>
    <row r="142" spans="12:15">
      <c r="M142" s="1"/>
    </row>
    <row r="144" spans="12:15">
      <c r="L144" s="1"/>
      <c r="M144" s="1"/>
      <c r="N144" s="1"/>
      <c r="O144" s="1"/>
    </row>
    <row r="145" spans="13:15">
      <c r="M145" s="1"/>
      <c r="N145" s="1"/>
      <c r="O145" s="1"/>
    </row>
    <row r="146" spans="13:15">
      <c r="M146" s="1"/>
      <c r="N146" s="1"/>
      <c r="O146" s="1"/>
    </row>
  </sheetData>
  <printOptions gridLines="1" gridLinesSet="0"/>
  <pageMargins left="0.75" right="0.75" top="1" bottom="1" header="0.5" footer="0.5"/>
  <pageSetup orientation="portrait" horizontalDpi="4294967292" verticalDpi="4294967292"/>
  <rowBreaks count="1" manualBreakCount="1">
    <brk id="41" max="6553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 enableFormatConditionsCalculation="0"/>
  <dimension ref="A1:R456"/>
  <sheetViews>
    <sheetView topLeftCell="A11" workbookViewId="0"/>
  </sheetViews>
  <sheetFormatPr baseColWidth="10" defaultColWidth="7.83203125" defaultRowHeight="12" x14ac:dyDescent="0"/>
  <cols>
    <col min="4" max="4" width="7.83203125" hidden="1" customWidth="1"/>
    <col min="7" max="7" width="7.83203125" hidden="1" customWidth="1"/>
    <col min="9" max="9" width="7.83203125" hidden="1" customWidth="1"/>
    <col min="10" max="10" width="7.83203125" customWidth="1"/>
    <col min="11" max="11" width="8" customWidth="1"/>
    <col min="12" max="12" width="8.1640625" customWidth="1"/>
    <col min="13" max="15" width="0" hidden="1" customWidth="1"/>
  </cols>
  <sheetData>
    <row r="1" spans="1:18" ht="18" thickBot="1">
      <c r="A1" s="44" t="s">
        <v>92</v>
      </c>
      <c r="B1" s="44"/>
      <c r="C1" s="140" t="s">
        <v>59</v>
      </c>
      <c r="D1" s="140"/>
      <c r="E1" s="140"/>
      <c r="F1" s="140"/>
      <c r="G1" s="141"/>
      <c r="H1" s="141"/>
      <c r="I1" s="142"/>
      <c r="J1" s="142"/>
      <c r="K1" s="42"/>
      <c r="L1" s="42"/>
    </row>
    <row r="2" spans="1:18" ht="13" thickBot="1">
      <c r="A2" s="44"/>
      <c r="B2" s="42"/>
      <c r="C2" s="41" t="s">
        <v>60</v>
      </c>
      <c r="D2" s="42"/>
      <c r="E2" s="42"/>
      <c r="F2" s="159" t="s">
        <v>108</v>
      </c>
      <c r="G2" s="42"/>
      <c r="H2" s="62"/>
      <c r="I2" s="42"/>
      <c r="J2" s="42"/>
      <c r="K2" s="42"/>
      <c r="L2" s="42"/>
    </row>
    <row r="3" spans="1:18" ht="13" thickBot="1">
      <c r="A3" s="41"/>
      <c r="B3" s="42"/>
      <c r="C3" s="160" t="s">
        <v>109</v>
      </c>
      <c r="D3" s="62"/>
      <c r="E3" s="63"/>
      <c r="F3" s="63"/>
      <c r="G3" s="42"/>
      <c r="H3" s="64"/>
      <c r="I3" s="42"/>
      <c r="J3" s="42"/>
      <c r="K3" s="42"/>
      <c r="L3" s="42"/>
    </row>
    <row r="4" spans="1:18" ht="7" customHeight="1" thickBot="1">
      <c r="A4" s="44" t="s">
        <v>92</v>
      </c>
      <c r="B4" s="44" t="s">
        <v>92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8" ht="13" thickBot="1">
      <c r="A5" s="40" t="s">
        <v>92</v>
      </c>
      <c r="B5" s="41" t="s">
        <v>93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8" ht="13" thickBot="1">
      <c r="A6" s="43" t="s">
        <v>92</v>
      </c>
      <c r="B6" s="41" t="s">
        <v>8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8">
      <c r="A7" s="190" t="s">
        <v>140</v>
      </c>
      <c r="B7" s="44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8">
      <c r="A8" s="44" t="s">
        <v>61</v>
      </c>
      <c r="B8" s="44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8">
      <c r="A9" s="41" t="s">
        <v>62</v>
      </c>
      <c r="B9" s="44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8">
      <c r="A10" s="41" t="s">
        <v>63</v>
      </c>
      <c r="B10" s="44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8">
      <c r="A11" s="65" t="s">
        <v>64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42"/>
    </row>
    <row r="12" spans="1:18" ht="13" thickBot="1">
      <c r="A12" s="67" t="s">
        <v>65</v>
      </c>
      <c r="B12" s="23"/>
      <c r="C12" s="68"/>
      <c r="D12" s="68"/>
      <c r="E12" s="68"/>
      <c r="F12" s="68"/>
      <c r="G12" s="68"/>
      <c r="H12" s="68"/>
      <c r="I12" s="68"/>
      <c r="J12" s="68"/>
      <c r="K12" s="68"/>
    </row>
    <row r="13" spans="1:18" ht="13" thickBot="1">
      <c r="A13" s="68"/>
      <c r="B13" s="67" t="s">
        <v>66</v>
      </c>
      <c r="C13" s="40">
        <v>10.5</v>
      </c>
      <c r="D13" s="68"/>
      <c r="E13" s="157" t="s">
        <v>67</v>
      </c>
      <c r="F13" s="68"/>
      <c r="G13" s="68"/>
      <c r="H13" s="68"/>
      <c r="I13" s="68"/>
      <c r="J13" s="68"/>
      <c r="K13" s="68"/>
    </row>
    <row r="14" spans="1:18" ht="13.75" customHeight="1" thickBo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8" ht="17" thickTop="1" thickBot="1">
      <c r="A15" s="69"/>
      <c r="B15" s="70" t="s">
        <v>68</v>
      </c>
      <c r="C15" s="71"/>
      <c r="D15" s="71"/>
      <c r="E15" s="70" t="s">
        <v>69</v>
      </c>
      <c r="F15" s="71"/>
      <c r="G15" s="71"/>
      <c r="H15" s="70" t="s">
        <v>70</v>
      </c>
      <c r="I15" s="71"/>
      <c r="J15" s="70" t="s">
        <v>19</v>
      </c>
      <c r="K15" s="72" t="s">
        <v>19</v>
      </c>
      <c r="R15" s="73"/>
    </row>
    <row r="16" spans="1:18" ht="14" thickTop="1" thickBot="1">
      <c r="A16" s="74"/>
      <c r="B16" s="75" t="s">
        <v>71</v>
      </c>
      <c r="C16" s="76" t="s">
        <v>72</v>
      </c>
      <c r="D16" s="77"/>
      <c r="E16" s="75" t="s">
        <v>71</v>
      </c>
      <c r="F16" s="76" t="s">
        <v>72</v>
      </c>
      <c r="G16" s="77"/>
      <c r="H16" s="78" t="s">
        <v>73</v>
      </c>
      <c r="I16" s="77"/>
      <c r="J16" s="78" t="s">
        <v>74</v>
      </c>
      <c r="K16" s="79" t="s">
        <v>75</v>
      </c>
    </row>
    <row r="17" spans="1:15" ht="7.75" customHeight="1" thickTop="1" thickBot="1">
      <c r="A17" s="68" t="s">
        <v>92</v>
      </c>
      <c r="B17" s="67" t="s">
        <v>92</v>
      </c>
      <c r="C17" s="68"/>
      <c r="D17" s="68"/>
      <c r="E17" s="67" t="s">
        <v>92</v>
      </c>
      <c r="F17" s="67" t="s">
        <v>92</v>
      </c>
      <c r="G17" s="68"/>
      <c r="H17" s="67" t="s">
        <v>92</v>
      </c>
      <c r="I17" s="68"/>
      <c r="J17" s="67" t="s">
        <v>92</v>
      </c>
      <c r="K17" s="67" t="s">
        <v>92</v>
      </c>
    </row>
    <row r="18" spans="1:15" ht="6.5" customHeight="1" thickTop="1" thickBo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5" ht="13" thickBot="1">
      <c r="A19" s="68"/>
      <c r="B19" s="159" t="s">
        <v>110</v>
      </c>
      <c r="C19" s="64"/>
      <c r="D19" s="68"/>
      <c r="E19" s="160" t="s">
        <v>139</v>
      </c>
      <c r="F19" s="64"/>
      <c r="G19" s="68"/>
      <c r="H19" s="68"/>
      <c r="I19" s="68"/>
      <c r="J19" s="67" t="s">
        <v>92</v>
      </c>
      <c r="K19" s="67" t="s">
        <v>92</v>
      </c>
    </row>
    <row r="20" spans="1:15" ht="14" thickTop="1" thickBot="1">
      <c r="A20" s="68"/>
      <c r="B20" s="23"/>
      <c r="C20" s="23"/>
      <c r="D20" s="23"/>
      <c r="E20" s="23"/>
      <c r="F20" s="23" t="s">
        <v>92</v>
      </c>
      <c r="G20" s="23"/>
      <c r="H20" s="70" t="s">
        <v>73</v>
      </c>
      <c r="I20" s="71"/>
      <c r="J20" s="70" t="s">
        <v>74</v>
      </c>
      <c r="K20" s="72" t="s">
        <v>75</v>
      </c>
    </row>
    <row r="21" spans="1:15" ht="14" thickTop="1" thickBot="1">
      <c r="A21" s="67" t="s">
        <v>76</v>
      </c>
      <c r="B21" s="40">
        <v>-33.93</v>
      </c>
      <c r="C21" s="40" t="s">
        <v>92</v>
      </c>
      <c r="D21" s="81">
        <f>PI()*((C21/60)+B21)/180</f>
        <v>-0.59219021520167603</v>
      </c>
      <c r="E21" s="40">
        <v>-32.648890000000002</v>
      </c>
      <c r="F21" s="40"/>
      <c r="G21" s="68">
        <f>PI()*((F21/60)+E21)/180</f>
        <v>-0.56983062762145154</v>
      </c>
      <c r="H21" s="82">
        <f>60*180*(ACOS(SIN(D21)*SIN(G21)+COS(D21)*COS(G21)*COS(G22-D22)))/PI()</f>
        <v>922.95049617146742</v>
      </c>
      <c r="I21" s="83">
        <f>PI()*(H21/60)/180</f>
        <v>0.26847541651845708</v>
      </c>
      <c r="J21" s="43">
        <f>H21/$C$13</f>
        <v>87.900047254425473</v>
      </c>
      <c r="K21" s="43">
        <f>H21/(24*$C$13)</f>
        <v>3.6625019689343947</v>
      </c>
    </row>
    <row r="22" spans="1:15" ht="13" thickBot="1">
      <c r="A22" s="67" t="s">
        <v>77</v>
      </c>
      <c r="B22" s="40">
        <v>18.420000000000002</v>
      </c>
      <c r="C22" s="40" t="s">
        <v>92</v>
      </c>
      <c r="D22" s="81">
        <f>PI()*((C22/60)+B22)/180</f>
        <v>0.32148964821735554</v>
      </c>
      <c r="E22" s="40">
        <v>5.7070000000000003E-2</v>
      </c>
      <c r="F22" s="40"/>
      <c r="G22" s="68">
        <f>PI()*((F22/60)+E22)/180</f>
        <v>9.9605940411316382E-4</v>
      </c>
      <c r="H22" s="84"/>
      <c r="I22" s="68"/>
      <c r="J22" s="85" t="s">
        <v>92</v>
      </c>
      <c r="K22" s="85" t="s">
        <v>92</v>
      </c>
    </row>
    <row r="23" spans="1:15" ht="7" customHeight="1" thickBot="1">
      <c r="A23" s="68"/>
      <c r="B23" s="68"/>
      <c r="C23" s="68"/>
      <c r="D23" s="68"/>
      <c r="E23" s="68"/>
      <c r="F23" s="68" t="s">
        <v>92</v>
      </c>
      <c r="G23" s="68"/>
      <c r="H23" s="84"/>
      <c r="I23" s="68"/>
      <c r="J23" s="86"/>
      <c r="K23" s="86"/>
    </row>
    <row r="24" spans="1:15" ht="7.75" customHeight="1" thickTop="1" thickBo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5" ht="13" thickBot="1">
      <c r="A25" s="68"/>
      <c r="B25" s="160" t="s">
        <v>139</v>
      </c>
      <c r="C25" s="64"/>
      <c r="D25" s="68"/>
      <c r="E25" s="160" t="s">
        <v>141</v>
      </c>
      <c r="F25" s="64"/>
      <c r="G25" s="68"/>
      <c r="H25" s="68"/>
      <c r="I25" s="68"/>
      <c r="J25" s="67" t="s">
        <v>92</v>
      </c>
      <c r="K25" s="67" t="s">
        <v>92</v>
      </c>
      <c r="L25" s="87"/>
      <c r="M25" s="87"/>
      <c r="N25" s="87"/>
      <c r="O25" s="87"/>
    </row>
    <row r="26" spans="1:15" ht="14" thickTop="1" thickBot="1">
      <c r="A26" s="68"/>
      <c r="B26" s="23"/>
      <c r="C26" s="23"/>
      <c r="D26" s="23"/>
      <c r="E26" s="23"/>
      <c r="F26" s="23" t="s">
        <v>92</v>
      </c>
      <c r="G26" s="23"/>
      <c r="H26" s="70" t="s">
        <v>73</v>
      </c>
      <c r="I26" s="71"/>
      <c r="J26" s="70" t="s">
        <v>74</v>
      </c>
      <c r="K26" s="72" t="s">
        <v>75</v>
      </c>
    </row>
    <row r="27" spans="1:15" ht="14" thickTop="1" thickBot="1">
      <c r="A27" s="67" t="s">
        <v>76</v>
      </c>
      <c r="B27" s="40">
        <v>-32.648890000000002</v>
      </c>
      <c r="C27" s="40"/>
      <c r="D27" s="81">
        <f>PI()*((C27/60)+B27)/180</f>
        <v>-0.56983062762145154</v>
      </c>
      <c r="E27" s="40">
        <v>-30.380749999999999</v>
      </c>
      <c r="F27" s="40"/>
      <c r="G27" s="68">
        <f>PI()*((F27/60)+E27)/180</f>
        <v>-0.53024411672526728</v>
      </c>
      <c r="H27" s="82">
        <f>60*180*(ACOS(SIN(D27)*SIN(G27)+COS(D27)*COS(G27)*COS(G28-D28)))/PI()</f>
        <v>145.96984042455713</v>
      </c>
      <c r="I27" s="83">
        <f>PI()*(H27/60)/180</f>
        <v>4.2460905400320659E-2</v>
      </c>
      <c r="J27" s="43">
        <f>H27/$C$13</f>
        <v>13.901889564243536</v>
      </c>
      <c r="K27" s="43">
        <f>H27/(24*$C$13)</f>
        <v>0.57924539851014734</v>
      </c>
      <c r="L27" s="87"/>
      <c r="M27" s="87"/>
      <c r="N27" s="87"/>
      <c r="O27" s="87"/>
    </row>
    <row r="28" spans="1:15" ht="13" thickBot="1">
      <c r="A28" s="67" t="s">
        <v>77</v>
      </c>
      <c r="B28" s="40">
        <v>5.7070000000000003E-2</v>
      </c>
      <c r="C28" s="40"/>
      <c r="D28" s="81">
        <f>PI()*((C28/60)+B28)/180</f>
        <v>9.9605940411316382E-4</v>
      </c>
      <c r="E28" s="40">
        <v>1.08934</v>
      </c>
      <c r="F28" s="40"/>
      <c r="G28" s="68">
        <f>PI()*((F28/60)+E28)/180</f>
        <v>1.9012569673675029E-2</v>
      </c>
      <c r="H28" s="84"/>
      <c r="I28" s="68"/>
      <c r="J28" s="85" t="s">
        <v>92</v>
      </c>
      <c r="K28" s="85" t="s">
        <v>92</v>
      </c>
      <c r="L28" s="87"/>
      <c r="M28" s="87"/>
      <c r="N28" s="87"/>
      <c r="O28" s="87"/>
    </row>
    <row r="29" spans="1:15" ht="7" customHeight="1" thickBot="1">
      <c r="A29" s="67"/>
      <c r="G29" s="68"/>
      <c r="H29" s="84"/>
      <c r="I29" s="68"/>
      <c r="J29" s="85"/>
      <c r="K29" s="85"/>
      <c r="L29" s="87"/>
      <c r="M29" s="87"/>
      <c r="N29" s="87"/>
      <c r="O29" s="87"/>
    </row>
    <row r="30" spans="1:15" ht="7" customHeight="1" thickTop="1" thickBo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7"/>
      <c r="M30" s="87"/>
      <c r="N30" s="87"/>
      <c r="O30" s="87"/>
    </row>
    <row r="31" spans="1:15" ht="13" thickBot="1">
      <c r="A31" s="68"/>
      <c r="B31" s="160"/>
      <c r="C31" s="64"/>
      <c r="D31" s="68"/>
      <c r="E31" s="160"/>
      <c r="F31" s="64"/>
      <c r="G31" s="68"/>
      <c r="H31" s="84"/>
      <c r="I31" s="68"/>
      <c r="J31" s="86"/>
      <c r="K31" s="86"/>
      <c r="L31" s="87"/>
      <c r="M31" s="87"/>
      <c r="N31" s="87"/>
      <c r="O31" s="87"/>
    </row>
    <row r="32" spans="1:15" ht="14" thickTop="1" thickBot="1">
      <c r="A32" s="68"/>
      <c r="B32" s="23"/>
      <c r="C32" s="23"/>
      <c r="D32" s="23"/>
      <c r="E32" s="23"/>
      <c r="F32" s="23"/>
      <c r="G32" s="23"/>
      <c r="H32" s="70" t="s">
        <v>73</v>
      </c>
      <c r="I32" s="71"/>
      <c r="J32" s="70" t="s">
        <v>74</v>
      </c>
      <c r="K32" s="72" t="s">
        <v>75</v>
      </c>
    </row>
    <row r="33" spans="1:15" ht="14" thickTop="1" thickBot="1">
      <c r="A33" s="67" t="s">
        <v>76</v>
      </c>
      <c r="B33" s="40"/>
      <c r="C33" s="40"/>
      <c r="D33" s="81"/>
      <c r="E33" s="40"/>
      <c r="F33" s="40"/>
      <c r="G33" s="68">
        <f>PI()*((F33/60)+E33)/180</f>
        <v>0</v>
      </c>
      <c r="H33" s="82">
        <f>60*180*(ACOS(SIN(D33)*SIN(G33)+COS(D33)*COS(G33)*COS(G34-D34)))/PI()</f>
        <v>0</v>
      </c>
      <c r="I33" s="83">
        <f>PI()*(H33/60)/180</f>
        <v>0</v>
      </c>
      <c r="J33" s="43">
        <f>H33/$C$13</f>
        <v>0</v>
      </c>
      <c r="K33" s="43">
        <f>H33/(24*$C$13)</f>
        <v>0</v>
      </c>
      <c r="L33" s="87"/>
      <c r="M33" s="87"/>
      <c r="N33" s="87"/>
      <c r="O33" s="87"/>
    </row>
    <row r="34" spans="1:15" ht="13" thickBot="1">
      <c r="A34" s="67" t="s">
        <v>77</v>
      </c>
      <c r="B34" s="40"/>
      <c r="C34" s="40"/>
      <c r="D34" s="81"/>
      <c r="E34" s="40"/>
      <c r="F34" s="40"/>
      <c r="G34" s="68">
        <f>PI()*((F34/60)+E34)/180</f>
        <v>0</v>
      </c>
      <c r="H34" s="84"/>
      <c r="I34" s="68"/>
      <c r="J34" s="85" t="s">
        <v>92</v>
      </c>
      <c r="K34" s="85" t="s">
        <v>92</v>
      </c>
      <c r="L34" s="87"/>
      <c r="M34" s="87"/>
      <c r="N34" s="87"/>
      <c r="O34" s="87"/>
    </row>
    <row r="35" spans="1:15" ht="7" customHeight="1" thickBot="1">
      <c r="A35" s="68"/>
      <c r="B35" s="68"/>
      <c r="C35" s="68"/>
      <c r="D35" s="68"/>
      <c r="E35" s="68"/>
      <c r="F35" s="68"/>
      <c r="G35" s="68"/>
      <c r="H35" s="84"/>
      <c r="I35" s="68"/>
      <c r="J35" s="85" t="s">
        <v>92</v>
      </c>
      <c r="K35" s="85" t="s">
        <v>92</v>
      </c>
      <c r="L35" s="87"/>
      <c r="M35" s="87"/>
      <c r="N35" s="87"/>
      <c r="O35" s="87"/>
    </row>
    <row r="36" spans="1:15" ht="7.75" customHeight="1" thickTop="1" thickBo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7"/>
      <c r="M36" s="87"/>
      <c r="N36" s="87"/>
      <c r="O36" s="87"/>
    </row>
    <row r="37" spans="1:15" ht="13" thickBot="1">
      <c r="A37" s="68"/>
      <c r="B37" s="160"/>
      <c r="C37" s="64"/>
      <c r="D37" s="68"/>
      <c r="E37" s="160"/>
      <c r="F37" s="64"/>
      <c r="G37" s="68"/>
      <c r="H37" s="84"/>
      <c r="I37" s="68"/>
      <c r="J37" s="85" t="s">
        <v>92</v>
      </c>
      <c r="K37" s="85" t="s">
        <v>92</v>
      </c>
      <c r="L37" s="87"/>
      <c r="M37" s="87"/>
      <c r="N37" s="87"/>
      <c r="O37" s="87"/>
    </row>
    <row r="38" spans="1:15" ht="14" thickTop="1" thickBot="1">
      <c r="A38" s="68"/>
      <c r="B38" s="23"/>
      <c r="C38" s="23"/>
      <c r="D38" s="23"/>
      <c r="E38" s="23"/>
      <c r="F38" s="23" t="s">
        <v>92</v>
      </c>
      <c r="G38" s="23"/>
      <c r="H38" s="70" t="s">
        <v>73</v>
      </c>
      <c r="I38" s="71"/>
      <c r="J38" s="70" t="s">
        <v>74</v>
      </c>
      <c r="K38" s="72" t="s">
        <v>75</v>
      </c>
    </row>
    <row r="39" spans="1:15" ht="14" thickTop="1" thickBot="1">
      <c r="A39" s="67" t="s">
        <v>76</v>
      </c>
      <c r="B39" s="40"/>
      <c r="C39" s="40"/>
      <c r="D39" s="40"/>
      <c r="E39" s="40"/>
      <c r="F39" s="40" t="s">
        <v>92</v>
      </c>
      <c r="G39" s="68">
        <f>PI()*((F39/60)+E39)/180</f>
        <v>0</v>
      </c>
      <c r="H39" s="88">
        <f>60*180*(ACOS(SIN(D39)*SIN(G39)+COS(D39)*COS(G39)*COS(G40-D40)))/PI()</f>
        <v>0</v>
      </c>
      <c r="I39" s="89">
        <f>PI()*(H39/60)/180</f>
        <v>0</v>
      </c>
      <c r="J39" s="43">
        <f>H39/$C$13</f>
        <v>0</v>
      </c>
      <c r="K39" s="43">
        <f>H39/(24*$C$13)</f>
        <v>0</v>
      </c>
      <c r="L39" s="87"/>
      <c r="M39" s="87"/>
      <c r="N39" s="87"/>
      <c r="O39" s="87"/>
    </row>
    <row r="40" spans="1:15" ht="13" thickBot="1">
      <c r="A40" s="67" t="s">
        <v>77</v>
      </c>
      <c r="B40" s="40"/>
      <c r="C40" s="40"/>
      <c r="D40" s="40"/>
      <c r="E40" s="40"/>
      <c r="F40" s="40" t="s">
        <v>92</v>
      </c>
      <c r="G40" s="68">
        <f>PI()*((F40/60)+E40)/180</f>
        <v>0</v>
      </c>
      <c r="H40" s="84"/>
      <c r="I40" s="68"/>
      <c r="J40" s="85" t="s">
        <v>92</v>
      </c>
      <c r="K40" s="85" t="s">
        <v>92</v>
      </c>
      <c r="L40" s="87"/>
      <c r="M40" s="87"/>
      <c r="N40" s="87"/>
      <c r="O40" s="87"/>
    </row>
    <row r="41" spans="1:15" ht="7" customHeight="1" thickBot="1">
      <c r="A41" s="68"/>
      <c r="B41" s="68"/>
      <c r="C41" s="68"/>
      <c r="D41" s="68"/>
      <c r="E41" s="68"/>
      <c r="F41" s="68"/>
      <c r="G41" s="68"/>
      <c r="H41" s="84"/>
      <c r="I41" s="68"/>
      <c r="J41" s="85" t="s">
        <v>92</v>
      </c>
      <c r="K41" s="85" t="s">
        <v>92</v>
      </c>
      <c r="L41" s="87"/>
      <c r="M41" s="87"/>
      <c r="N41" s="87"/>
      <c r="O41" s="87"/>
    </row>
    <row r="42" spans="1:15" ht="7.75" customHeight="1" thickTop="1" thickBot="1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7"/>
      <c r="M42" s="87"/>
      <c r="N42" s="87"/>
      <c r="O42" s="87"/>
    </row>
    <row r="43" spans="1:15" ht="13" thickBot="1">
      <c r="A43" s="68"/>
      <c r="B43" s="160"/>
      <c r="C43" s="64"/>
      <c r="D43" s="68"/>
      <c r="E43" s="160"/>
      <c r="F43" s="64"/>
      <c r="G43" s="68"/>
      <c r="H43" s="84"/>
      <c r="I43" s="68"/>
      <c r="J43" s="85" t="s">
        <v>92</v>
      </c>
      <c r="K43" s="85" t="s">
        <v>92</v>
      </c>
      <c r="L43" s="87"/>
      <c r="M43" s="87"/>
      <c r="N43" s="87"/>
      <c r="O43" s="87"/>
    </row>
    <row r="44" spans="1:15" ht="14" thickTop="1" thickBot="1">
      <c r="A44" s="68"/>
      <c r="B44" s="23"/>
      <c r="C44" s="23"/>
      <c r="D44" s="23"/>
      <c r="E44" s="23"/>
      <c r="F44" s="23" t="s">
        <v>92</v>
      </c>
      <c r="G44" s="23"/>
      <c r="H44" s="70" t="s">
        <v>73</v>
      </c>
      <c r="I44" s="71"/>
      <c r="J44" s="70" t="s">
        <v>74</v>
      </c>
      <c r="K44" s="72" t="s">
        <v>75</v>
      </c>
    </row>
    <row r="45" spans="1:15" ht="14" thickTop="1" thickBot="1">
      <c r="A45" s="67" t="s">
        <v>76</v>
      </c>
      <c r="B45" s="40"/>
      <c r="C45" s="40"/>
      <c r="D45" s="40"/>
      <c r="E45" s="40"/>
      <c r="F45" s="40" t="s">
        <v>92</v>
      </c>
      <c r="G45" s="68">
        <f>PI()*((F45/60)+E45)/180</f>
        <v>0</v>
      </c>
      <c r="H45" s="88">
        <f>60*180*(ACOS(SIN(D45)*SIN(G45)+COS(D45)*COS(G45)*COS(G46-D46)))/PI()</f>
        <v>0</v>
      </c>
      <c r="I45" s="89">
        <f>PI()*(H45/60)/180</f>
        <v>0</v>
      </c>
      <c r="J45" s="43">
        <f>H45/$C$13</f>
        <v>0</v>
      </c>
      <c r="K45" s="43">
        <f>H45/(24*$C$13)</f>
        <v>0</v>
      </c>
      <c r="L45" s="87"/>
      <c r="M45" s="87"/>
      <c r="N45" s="87"/>
      <c r="O45" s="87"/>
    </row>
    <row r="46" spans="1:15" ht="13" thickBot="1">
      <c r="A46" s="67" t="s">
        <v>77</v>
      </c>
      <c r="B46" s="40"/>
      <c r="C46" s="40"/>
      <c r="D46" s="40"/>
      <c r="E46" s="40"/>
      <c r="F46" s="40" t="s">
        <v>92</v>
      </c>
      <c r="G46" s="68">
        <f>PI()*((F46/60)+E46)/180</f>
        <v>0</v>
      </c>
      <c r="H46" s="84"/>
      <c r="I46" s="68"/>
      <c r="J46" s="85" t="s">
        <v>92</v>
      </c>
      <c r="K46" s="85" t="s">
        <v>92</v>
      </c>
      <c r="L46" s="87"/>
      <c r="M46" s="87"/>
      <c r="N46" s="87"/>
      <c r="O46" s="87"/>
    </row>
    <row r="47" spans="1:15" ht="8.25" customHeight="1" thickBo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5" ht="6.5" customHeight="1" thickTop="1" thickBo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</row>
    <row r="49" spans="1:15" ht="13" thickBot="1">
      <c r="A49" s="68"/>
      <c r="B49" s="159"/>
      <c r="C49" s="64"/>
      <c r="D49" s="68"/>
      <c r="E49" s="160"/>
      <c r="F49" s="64"/>
      <c r="G49" s="68"/>
      <c r="H49" s="68"/>
      <c r="I49" s="68"/>
      <c r="J49" s="67" t="s">
        <v>92</v>
      </c>
      <c r="K49" s="67" t="s">
        <v>92</v>
      </c>
    </row>
    <row r="50" spans="1:15" ht="14" thickTop="1" thickBot="1">
      <c r="A50" s="68"/>
      <c r="B50" s="23"/>
      <c r="C50" s="23"/>
      <c r="D50" s="23"/>
      <c r="E50" s="23"/>
      <c r="F50" s="23"/>
      <c r="G50" s="23"/>
      <c r="H50" s="70" t="s">
        <v>73</v>
      </c>
      <c r="I50" s="71"/>
      <c r="J50" s="70" t="s">
        <v>74</v>
      </c>
      <c r="K50" s="72" t="s">
        <v>75</v>
      </c>
    </row>
    <row r="51" spans="1:15" ht="14" thickTop="1" thickBot="1">
      <c r="A51" s="67" t="s">
        <v>76</v>
      </c>
      <c r="B51" s="40"/>
      <c r="C51" s="40"/>
      <c r="D51" s="40"/>
      <c r="E51" s="40"/>
      <c r="F51" s="40">
        <v>0</v>
      </c>
      <c r="G51" s="68">
        <f>PI()*((F51/60)+E51)/180</f>
        <v>0</v>
      </c>
      <c r="H51" s="88">
        <f>60*180*(ACOS(SIN(D51)*SIN(G51)+COS(D51)*COS(G51)*COS(G52-D52)))/PI()</f>
        <v>0</v>
      </c>
      <c r="I51" s="89">
        <f>PI()*(H51/60)/180</f>
        <v>0</v>
      </c>
      <c r="J51" s="43">
        <f>H51/$C$13</f>
        <v>0</v>
      </c>
      <c r="K51" s="43">
        <f>H51/(24*$C$13)</f>
        <v>0</v>
      </c>
    </row>
    <row r="52" spans="1:15" ht="13" thickBot="1">
      <c r="A52" s="67" t="s">
        <v>77</v>
      </c>
      <c r="B52" s="40"/>
      <c r="C52" s="40"/>
      <c r="D52" s="40"/>
      <c r="E52" s="40"/>
      <c r="F52" s="40">
        <v>0</v>
      </c>
      <c r="G52" s="68">
        <f>PI()*((F52/60)+E52)/180</f>
        <v>0</v>
      </c>
      <c r="H52" s="84"/>
      <c r="I52" s="68"/>
      <c r="J52" s="85" t="s">
        <v>92</v>
      </c>
      <c r="K52" s="85" t="s">
        <v>92</v>
      </c>
    </row>
    <row r="53" spans="1:15" ht="7" customHeight="1" thickBot="1">
      <c r="A53" s="68"/>
      <c r="B53" s="68"/>
      <c r="C53" s="68"/>
      <c r="D53" s="68"/>
      <c r="E53" s="68"/>
      <c r="F53" s="68" t="s">
        <v>92</v>
      </c>
      <c r="G53" s="68"/>
      <c r="H53" s="84"/>
      <c r="I53" s="68"/>
      <c r="J53" s="86"/>
      <c r="K53" s="86"/>
    </row>
    <row r="54" spans="1:15" ht="7.75" customHeight="1" thickTop="1" thickBo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</row>
    <row r="55" spans="1:15" ht="13" thickBot="1">
      <c r="A55" s="68"/>
      <c r="B55" s="160"/>
      <c r="C55" s="64"/>
      <c r="D55" s="68"/>
      <c r="E55" s="160"/>
      <c r="F55" s="64"/>
      <c r="G55" s="68"/>
      <c r="H55" s="68"/>
      <c r="I55" s="68"/>
      <c r="J55" s="67" t="s">
        <v>92</v>
      </c>
      <c r="K55" s="67" t="s">
        <v>92</v>
      </c>
      <c r="L55" s="87"/>
      <c r="M55" s="87"/>
      <c r="N55" s="87"/>
      <c r="O55" s="87"/>
    </row>
    <row r="56" spans="1:15" ht="14" thickTop="1" thickBot="1">
      <c r="A56" s="68"/>
      <c r="B56" s="23"/>
      <c r="C56" s="23"/>
      <c r="D56" s="23"/>
      <c r="E56" s="23"/>
      <c r="F56" s="23"/>
      <c r="G56" s="23"/>
      <c r="H56" s="70" t="s">
        <v>73</v>
      </c>
      <c r="I56" s="71"/>
      <c r="J56" s="70" t="s">
        <v>74</v>
      </c>
      <c r="K56" s="72" t="s">
        <v>75</v>
      </c>
    </row>
    <row r="57" spans="1:15" ht="14" thickTop="1" thickBot="1">
      <c r="A57" s="67" t="s">
        <v>76</v>
      </c>
      <c r="B57" s="40"/>
      <c r="C57" s="40"/>
      <c r="D57" s="40"/>
      <c r="E57" s="40"/>
      <c r="F57" s="40"/>
      <c r="G57" s="68">
        <f>PI()*((F57/60)+E57)/180</f>
        <v>0</v>
      </c>
      <c r="H57" s="82">
        <f>60*180*(ACOS(SIN(D57)*SIN(G57)+COS(D57)*COS(G57)*COS(G58-D58)))/PI()</f>
        <v>0</v>
      </c>
      <c r="I57" s="83">
        <f>PI()*(H57/60)/180</f>
        <v>0</v>
      </c>
      <c r="J57" s="43">
        <f>H57/C13</f>
        <v>0</v>
      </c>
      <c r="K57" s="43">
        <f>H57/(24*C13)</f>
        <v>0</v>
      </c>
      <c r="L57" s="87"/>
      <c r="M57" s="87"/>
      <c r="N57" s="87"/>
      <c r="O57" s="87"/>
    </row>
    <row r="58" spans="1:15" ht="13" thickBot="1">
      <c r="A58" s="67" t="s">
        <v>77</v>
      </c>
      <c r="B58" s="40"/>
      <c r="C58" s="40"/>
      <c r="D58" s="40"/>
      <c r="E58" s="40"/>
      <c r="F58" s="40"/>
      <c r="G58" s="68">
        <f>PI()*((F58/60)+E58)/180</f>
        <v>0</v>
      </c>
      <c r="H58" s="84"/>
      <c r="I58" s="68"/>
      <c r="J58" s="85" t="s">
        <v>92</v>
      </c>
      <c r="K58" s="85" t="s">
        <v>92</v>
      </c>
      <c r="L58" s="87"/>
      <c r="M58" s="87"/>
      <c r="N58" s="87"/>
      <c r="O58" s="87"/>
    </row>
    <row r="59" spans="1:15" ht="7" customHeight="1" thickBot="1">
      <c r="A59" s="67"/>
      <c r="G59" s="68"/>
      <c r="H59" s="84"/>
      <c r="I59" s="68"/>
      <c r="J59" s="85"/>
      <c r="K59" s="85"/>
      <c r="L59" s="87"/>
      <c r="M59" s="87"/>
      <c r="N59" s="87"/>
      <c r="O59" s="87"/>
    </row>
    <row r="60" spans="1:15" ht="7" customHeight="1" thickTop="1" thickBot="1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7"/>
      <c r="M60" s="87"/>
      <c r="N60" s="87"/>
      <c r="O60" s="87"/>
    </row>
    <row r="61" spans="1:15" ht="13" thickBot="1">
      <c r="A61" s="68"/>
      <c r="B61" s="160"/>
      <c r="C61" s="64"/>
      <c r="D61" s="68"/>
      <c r="E61" s="160"/>
      <c r="F61" s="64"/>
      <c r="G61" s="68"/>
      <c r="H61" s="84"/>
      <c r="I61" s="68"/>
      <c r="J61" s="86"/>
      <c r="K61" s="86"/>
      <c r="L61" s="87"/>
      <c r="M61" s="87"/>
      <c r="N61" s="87"/>
      <c r="O61" s="87"/>
    </row>
    <row r="62" spans="1:15" ht="14" thickTop="1" thickBot="1">
      <c r="A62" s="68"/>
      <c r="B62" s="23"/>
      <c r="C62" s="23"/>
      <c r="D62" s="23"/>
      <c r="E62" s="23"/>
      <c r="F62" s="23" t="s">
        <v>92</v>
      </c>
      <c r="G62" s="23"/>
      <c r="H62" s="70" t="s">
        <v>73</v>
      </c>
      <c r="I62" s="71"/>
      <c r="J62" s="70" t="s">
        <v>74</v>
      </c>
      <c r="K62" s="72" t="s">
        <v>75</v>
      </c>
    </row>
    <row r="63" spans="1:15" ht="14" thickTop="1" thickBot="1">
      <c r="A63" s="67" t="s">
        <v>76</v>
      </c>
      <c r="B63" s="40"/>
      <c r="C63" s="40"/>
      <c r="D63" s="81"/>
      <c r="E63" s="40"/>
      <c r="F63" s="40" t="s">
        <v>92</v>
      </c>
      <c r="G63" s="68">
        <f>PI()*((F63/60)+E63)/180</f>
        <v>0</v>
      </c>
      <c r="H63" s="82">
        <f>60*180*(ACOS(SIN(D63)*SIN(G63)+COS(D63)*COS(G63)*COS(G64-D64)))/PI()</f>
        <v>0</v>
      </c>
      <c r="I63" s="89">
        <f>PI()*(H63/60)/180</f>
        <v>0</v>
      </c>
      <c r="J63" s="43">
        <f>H63/$C$13</f>
        <v>0</v>
      </c>
      <c r="K63" s="43">
        <f>H63/(24*$C$13)</f>
        <v>0</v>
      </c>
      <c r="L63" s="87"/>
      <c r="M63" s="87"/>
      <c r="N63" s="87"/>
      <c r="O63" s="87"/>
    </row>
    <row r="64" spans="1:15" ht="13" thickBot="1">
      <c r="A64" s="67" t="s">
        <v>77</v>
      </c>
      <c r="B64" s="40"/>
      <c r="C64" s="40"/>
      <c r="D64" s="81"/>
      <c r="E64" s="40"/>
      <c r="F64" s="40" t="s">
        <v>92</v>
      </c>
      <c r="G64" s="68">
        <f>PI()*((F64/60)+E64)/180</f>
        <v>0</v>
      </c>
      <c r="H64" s="84"/>
      <c r="I64" s="68"/>
      <c r="J64" s="85" t="s">
        <v>92</v>
      </c>
      <c r="K64" s="85" t="s">
        <v>92</v>
      </c>
      <c r="L64" s="87"/>
      <c r="M64" s="87"/>
      <c r="N64" s="87"/>
      <c r="O64" s="87"/>
    </row>
    <row r="65" spans="1:15" ht="7" customHeight="1" thickBot="1">
      <c r="A65" s="68"/>
      <c r="B65" s="68"/>
      <c r="C65" s="68"/>
      <c r="D65" s="68"/>
      <c r="E65" s="68"/>
      <c r="F65" s="68"/>
      <c r="G65" s="68"/>
      <c r="H65" s="84"/>
      <c r="I65" s="68"/>
      <c r="J65" s="85" t="s">
        <v>92</v>
      </c>
      <c r="K65" s="85" t="s">
        <v>92</v>
      </c>
      <c r="L65" s="87"/>
      <c r="M65" s="87"/>
      <c r="N65" s="87"/>
      <c r="O65" s="87"/>
    </row>
    <row r="66" spans="1:15" ht="7.75" customHeight="1" thickTop="1" thickBo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7"/>
      <c r="M66" s="87"/>
      <c r="N66" s="87"/>
      <c r="O66" s="87"/>
    </row>
    <row r="67" spans="1:15" ht="13" thickBot="1">
      <c r="A67" s="68"/>
      <c r="B67" s="160"/>
      <c r="C67" s="64"/>
      <c r="D67" s="68"/>
      <c r="E67" s="160"/>
      <c r="F67" s="64"/>
      <c r="G67" s="68"/>
      <c r="H67" s="84"/>
      <c r="I67" s="68"/>
      <c r="J67" s="85" t="s">
        <v>92</v>
      </c>
      <c r="K67" s="85" t="s">
        <v>92</v>
      </c>
      <c r="L67" s="87"/>
      <c r="M67" s="87"/>
      <c r="N67" s="87"/>
      <c r="O67" s="87"/>
    </row>
    <row r="68" spans="1:15" ht="14" thickTop="1" thickBot="1">
      <c r="A68" s="68"/>
      <c r="B68" s="23"/>
      <c r="C68" s="23"/>
      <c r="D68" s="23"/>
      <c r="E68" s="23"/>
      <c r="F68" s="23" t="s">
        <v>92</v>
      </c>
      <c r="G68" s="23"/>
      <c r="H68" s="70" t="s">
        <v>73</v>
      </c>
      <c r="I68" s="71"/>
      <c r="J68" s="70" t="s">
        <v>74</v>
      </c>
      <c r="K68" s="72" t="s">
        <v>75</v>
      </c>
    </row>
    <row r="69" spans="1:15" ht="14" thickTop="1" thickBot="1">
      <c r="A69" s="67" t="s">
        <v>76</v>
      </c>
      <c r="B69" s="40"/>
      <c r="C69" s="40"/>
      <c r="D69" s="40"/>
      <c r="E69" s="40"/>
      <c r="F69" s="40" t="s">
        <v>92</v>
      </c>
      <c r="G69" s="68">
        <f>PI()*((F69/60)+E69)/180</f>
        <v>0</v>
      </c>
      <c r="H69" s="88">
        <f>60*180*(ACOS(SIN(D69)*SIN(G69)+COS(D69)*COS(G69)*COS(G70-D70)))/PI()</f>
        <v>0</v>
      </c>
      <c r="I69" s="89">
        <f>PI()*(H69/60)/180</f>
        <v>0</v>
      </c>
      <c r="J69" s="43">
        <f>H69/$C$13</f>
        <v>0</v>
      </c>
      <c r="K69" s="43">
        <f>H69/(24*$C$13)</f>
        <v>0</v>
      </c>
      <c r="L69" s="87"/>
      <c r="M69" s="87"/>
      <c r="N69" s="87"/>
      <c r="O69" s="87"/>
    </row>
    <row r="70" spans="1:15" ht="13" thickBot="1">
      <c r="A70" s="67" t="s">
        <v>77</v>
      </c>
      <c r="B70" s="40"/>
      <c r="C70" s="40"/>
      <c r="D70" s="40"/>
      <c r="E70" s="40"/>
      <c r="F70" s="40" t="s">
        <v>92</v>
      </c>
      <c r="G70" s="68">
        <f>PI()*((F70/60)+E70)/180</f>
        <v>0</v>
      </c>
      <c r="H70" s="84"/>
      <c r="I70" s="68"/>
      <c r="J70" s="85" t="s">
        <v>92</v>
      </c>
      <c r="K70" s="85" t="s">
        <v>92</v>
      </c>
      <c r="L70" s="87"/>
      <c r="M70" s="87"/>
      <c r="N70" s="87"/>
      <c r="O70" s="87"/>
    </row>
    <row r="71" spans="1:15" ht="7" customHeight="1" thickBot="1">
      <c r="A71" s="68"/>
      <c r="B71" s="68"/>
      <c r="C71" s="68"/>
      <c r="D71" s="68"/>
      <c r="E71" s="68"/>
      <c r="F71" s="68"/>
      <c r="G71" s="68"/>
      <c r="H71" s="84"/>
      <c r="I71" s="68"/>
      <c r="J71" s="85" t="s">
        <v>92</v>
      </c>
      <c r="K71" s="85" t="s">
        <v>92</v>
      </c>
      <c r="L71" s="87"/>
      <c r="M71" s="87"/>
      <c r="N71" s="87"/>
      <c r="O71" s="87"/>
    </row>
    <row r="72" spans="1:15" ht="7.75" customHeight="1" thickTop="1" thickBot="1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7"/>
      <c r="M72" s="87"/>
      <c r="N72" s="87"/>
      <c r="O72" s="87"/>
    </row>
    <row r="73" spans="1:15" ht="13" thickBot="1">
      <c r="A73" s="68"/>
      <c r="B73" s="160"/>
      <c r="C73" s="64"/>
      <c r="D73" s="68"/>
      <c r="E73" s="160"/>
      <c r="F73" s="64"/>
      <c r="G73" s="68"/>
      <c r="H73" s="84"/>
      <c r="I73" s="68"/>
      <c r="J73" s="85" t="s">
        <v>92</v>
      </c>
      <c r="K73" s="85" t="s">
        <v>92</v>
      </c>
      <c r="L73" s="87"/>
      <c r="M73" s="87"/>
      <c r="N73" s="87"/>
      <c r="O73" s="87"/>
    </row>
    <row r="74" spans="1:15" ht="14" thickTop="1" thickBot="1">
      <c r="A74" s="68"/>
      <c r="B74" s="23"/>
      <c r="C74" s="23"/>
      <c r="D74" s="23"/>
      <c r="E74" s="23"/>
      <c r="F74" s="23" t="s">
        <v>92</v>
      </c>
      <c r="G74" s="23"/>
      <c r="H74" s="70" t="s">
        <v>73</v>
      </c>
      <c r="I74" s="71"/>
      <c r="J74" s="70" t="s">
        <v>74</v>
      </c>
      <c r="K74" s="72" t="s">
        <v>75</v>
      </c>
    </row>
    <row r="75" spans="1:15" ht="14" thickTop="1" thickBot="1">
      <c r="A75" s="67" t="s">
        <v>76</v>
      </c>
      <c r="B75" s="40"/>
      <c r="C75" s="40"/>
      <c r="D75" s="40"/>
      <c r="E75" s="40"/>
      <c r="F75" s="40" t="s">
        <v>92</v>
      </c>
      <c r="G75" s="68">
        <f>PI()*((F75/60)+E75)/180</f>
        <v>0</v>
      </c>
      <c r="H75" s="88">
        <f>60*180*(ACOS(SIN(D75)*SIN(G75)+COS(D75)*COS(G75)*COS(G76-D76)))/PI()</f>
        <v>0</v>
      </c>
      <c r="I75" s="89">
        <f>PI()*(H75/60)/180</f>
        <v>0</v>
      </c>
      <c r="J75" s="43">
        <f>H75/$C$13</f>
        <v>0</v>
      </c>
      <c r="K75" s="43">
        <f>H75/(24*$C$13)</f>
        <v>0</v>
      </c>
      <c r="L75" s="87"/>
      <c r="M75" s="87"/>
      <c r="N75" s="87"/>
      <c r="O75" s="87"/>
    </row>
    <row r="76" spans="1:15" ht="13" thickBot="1">
      <c r="A76" s="67" t="s">
        <v>77</v>
      </c>
      <c r="B76" s="40"/>
      <c r="C76" s="40"/>
      <c r="D76" s="40"/>
      <c r="E76" s="40"/>
      <c r="F76" s="40" t="s">
        <v>92</v>
      </c>
      <c r="G76" s="68">
        <f>PI()*((F76/60)+E76)/180</f>
        <v>0</v>
      </c>
      <c r="H76" s="84"/>
      <c r="I76" s="68"/>
      <c r="J76" s="85" t="s">
        <v>92</v>
      </c>
      <c r="K76" s="85" t="s">
        <v>92</v>
      </c>
      <c r="L76" s="87"/>
      <c r="M76" s="87"/>
      <c r="N76" s="87"/>
      <c r="O76" s="87"/>
    </row>
    <row r="77" spans="1:1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</row>
    <row r="78" spans="1:1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</row>
    <row r="79" spans="1:1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</row>
    <row r="80" spans="1:1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</row>
    <row r="83" spans="1:1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1:1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1:1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</row>
    <row r="96" spans="1:1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</row>
    <row r="97" spans="1:16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6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</row>
    <row r="99" spans="1:16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</row>
    <row r="100" spans="1:16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P100" t="s">
        <v>92</v>
      </c>
    </row>
    <row r="101" spans="1:1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6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6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6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1:1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1:16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</row>
    <row r="110" spans="1:16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1:16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1:16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1:1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1:1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1:1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1:1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1:1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1:1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</row>
    <row r="122" spans="1:1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</sheetData>
  <printOptions gridLines="1" gridLinesSet="0"/>
  <pageMargins left="0.75" right="0.75" top="1" bottom="1" header="0.5" footer="0.5"/>
  <pageSetup firstPageNumber="2" orientation="portrait" useFirstPageNumber="1" horizontalDpi="4294967292" verticalDpi="4294967292"/>
  <rowBreaks count="1" manualBreakCount="1">
    <brk id="46" max="6553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4" workbookViewId="0">
      <selection activeCell="F12" sqref="F12"/>
    </sheetView>
  </sheetViews>
  <sheetFormatPr baseColWidth="10" defaultColWidth="8.83203125" defaultRowHeight="13" x14ac:dyDescent="0"/>
  <cols>
    <col min="1" max="1" width="8.33203125" style="109" customWidth="1"/>
    <col min="2" max="2" width="12.1640625" style="109" customWidth="1"/>
    <col min="3" max="3" width="6.5" style="110" customWidth="1"/>
    <col min="4" max="4" width="47" style="110" customWidth="1"/>
    <col min="5" max="6" width="7.33203125" style="109" customWidth="1"/>
    <col min="7" max="7" width="7.33203125" style="165" bestFit="1" customWidth="1"/>
    <col min="8" max="8" width="8.33203125" style="166" bestFit="1" customWidth="1"/>
    <col min="9" max="10" width="6.5" style="166" bestFit="1" customWidth="1"/>
    <col min="11" max="16384" width="8.83203125" style="109"/>
  </cols>
  <sheetData>
    <row r="1" spans="1:10" ht="18">
      <c r="C1" s="148"/>
      <c r="D1" s="149"/>
      <c r="E1" s="149"/>
      <c r="F1" s="149"/>
    </row>
    <row r="2" spans="1:10" ht="15">
      <c r="C2" s="202"/>
      <c r="D2" s="151"/>
      <c r="E2" s="150"/>
      <c r="F2" s="150"/>
    </row>
    <row r="3" spans="1:10" ht="14" thickBot="1"/>
    <row r="4" spans="1:10">
      <c r="A4" s="152"/>
      <c r="B4" s="152"/>
      <c r="C4" s="153" t="s">
        <v>78</v>
      </c>
      <c r="D4" s="152"/>
      <c r="E4" s="167" t="s">
        <v>79</v>
      </c>
      <c r="F4" s="168" t="s">
        <v>80</v>
      </c>
      <c r="G4" s="168" t="s">
        <v>81</v>
      </c>
      <c r="H4" s="168" t="s">
        <v>82</v>
      </c>
      <c r="I4" s="113"/>
      <c r="J4" s="109"/>
    </row>
    <row r="5" spans="1:10">
      <c r="A5" s="154" t="s">
        <v>83</v>
      </c>
      <c r="B5" s="154" t="s">
        <v>84</v>
      </c>
      <c r="C5" s="154" t="s">
        <v>85</v>
      </c>
      <c r="D5" s="154" t="s">
        <v>86</v>
      </c>
      <c r="E5" s="169" t="s">
        <v>87</v>
      </c>
      <c r="F5" s="170" t="s">
        <v>88</v>
      </c>
      <c r="G5" s="170" t="s">
        <v>92</v>
      </c>
      <c r="H5" s="170" t="s">
        <v>92</v>
      </c>
      <c r="I5" s="113"/>
      <c r="J5" s="109"/>
    </row>
    <row r="6" spans="1:10" ht="14" thickBot="1">
      <c r="A6" s="155" t="s">
        <v>89</v>
      </c>
      <c r="B6" s="156" t="s">
        <v>90</v>
      </c>
      <c r="C6" s="155" t="s">
        <v>0</v>
      </c>
      <c r="D6" s="156" t="s">
        <v>1</v>
      </c>
      <c r="E6" s="171" t="s">
        <v>2</v>
      </c>
      <c r="F6" s="172" t="s">
        <v>2</v>
      </c>
      <c r="G6" s="172" t="s">
        <v>2</v>
      </c>
      <c r="H6" s="172" t="s">
        <v>2</v>
      </c>
      <c r="I6" s="113"/>
      <c r="J6" s="109"/>
    </row>
    <row r="7" spans="1:10" ht="14" thickBot="1">
      <c r="A7" s="134" t="s">
        <v>112</v>
      </c>
      <c r="B7" s="118"/>
      <c r="C7" s="119"/>
      <c r="D7" s="120"/>
      <c r="E7" s="173"/>
      <c r="F7" s="174"/>
      <c r="G7" s="174"/>
      <c r="H7" s="174">
        <v>5</v>
      </c>
      <c r="I7" s="113"/>
      <c r="J7" s="109"/>
    </row>
    <row r="8" spans="1:10" ht="14" thickBot="1">
      <c r="A8" s="135" t="s">
        <v>142</v>
      </c>
      <c r="B8" s="191"/>
      <c r="C8" s="121"/>
      <c r="D8" s="122"/>
      <c r="E8" s="195">
        <v>3.66</v>
      </c>
      <c r="F8" s="196"/>
      <c r="G8" s="196"/>
      <c r="H8" s="197">
        <f t="shared" ref="H8:H12" si="0">E8+F8+G8</f>
        <v>3.66</v>
      </c>
      <c r="I8" s="113"/>
      <c r="J8" s="109"/>
    </row>
    <row r="9" spans="1:10">
      <c r="A9" s="137" t="s">
        <v>139</v>
      </c>
      <c r="B9" s="137" t="s">
        <v>113</v>
      </c>
      <c r="C9" s="164">
        <v>1800</v>
      </c>
      <c r="D9" s="137" t="s">
        <v>144</v>
      </c>
      <c r="E9" s="198"/>
      <c r="F9" s="199">
        <v>1.4</v>
      </c>
      <c r="G9" s="199"/>
      <c r="H9" s="199">
        <f t="shared" si="0"/>
        <v>1.4</v>
      </c>
      <c r="I9" s="109"/>
      <c r="J9" s="109"/>
    </row>
    <row r="10" spans="1:10">
      <c r="A10" s="137"/>
      <c r="B10" s="137" t="s">
        <v>114</v>
      </c>
      <c r="C10" s="124"/>
      <c r="D10" s="137" t="s">
        <v>145</v>
      </c>
      <c r="E10" s="198"/>
      <c r="F10" s="199">
        <v>1.1000000000000001</v>
      </c>
      <c r="G10" s="199"/>
      <c r="H10" s="199">
        <f t="shared" si="0"/>
        <v>1.1000000000000001</v>
      </c>
      <c r="I10" s="109"/>
      <c r="J10" s="109"/>
    </row>
    <row r="11" spans="1:10">
      <c r="A11" s="137"/>
      <c r="B11" s="137"/>
      <c r="C11" s="124"/>
      <c r="D11" s="137" t="s">
        <v>146</v>
      </c>
      <c r="E11" s="198"/>
      <c r="F11" s="199">
        <v>3.9</v>
      </c>
      <c r="G11" s="199"/>
      <c r="H11" s="199">
        <f t="shared" si="0"/>
        <v>3.9</v>
      </c>
      <c r="I11" s="109"/>
      <c r="J11" s="109"/>
    </row>
    <row r="12" spans="1:10" ht="26">
      <c r="A12" s="137"/>
      <c r="B12" s="137"/>
      <c r="C12" s="124"/>
      <c r="D12" s="192" t="s">
        <v>147</v>
      </c>
      <c r="E12" s="198"/>
      <c r="F12" s="199">
        <f>7.6-G12</f>
        <v>6.3</v>
      </c>
      <c r="G12" s="199">
        <v>1.3</v>
      </c>
      <c r="H12" s="199">
        <f t="shared" si="0"/>
        <v>7.6</v>
      </c>
      <c r="I12" s="109"/>
      <c r="J12" s="109"/>
    </row>
    <row r="13" spans="1:10" ht="14" thickBot="1">
      <c r="A13" s="120"/>
      <c r="B13" s="120"/>
      <c r="C13" s="119"/>
      <c r="D13" s="134"/>
      <c r="E13" s="195"/>
      <c r="F13" s="197"/>
      <c r="G13" s="197"/>
      <c r="H13" s="197"/>
      <c r="I13" s="194">
        <f>SUM(H9:H12)</f>
        <v>14</v>
      </c>
      <c r="J13" s="109"/>
    </row>
    <row r="14" spans="1:10">
      <c r="A14" s="137"/>
      <c r="B14" s="137"/>
      <c r="C14" s="164"/>
      <c r="D14" s="137"/>
      <c r="E14" s="198"/>
      <c r="F14" s="199"/>
      <c r="G14" s="199"/>
      <c r="H14" s="199"/>
      <c r="I14" s="109"/>
      <c r="J14" s="109"/>
    </row>
    <row r="15" spans="1:10">
      <c r="A15" s="137"/>
      <c r="B15" s="137"/>
      <c r="C15" s="124"/>
      <c r="D15" s="137"/>
      <c r="E15" s="198"/>
      <c r="F15" s="199"/>
      <c r="G15" s="199"/>
      <c r="H15" s="199"/>
      <c r="I15" s="109"/>
      <c r="J15" s="109"/>
    </row>
    <row r="16" spans="1:10" ht="14" thickBot="1">
      <c r="A16" s="120"/>
      <c r="B16" s="120"/>
      <c r="C16" s="119"/>
      <c r="D16" s="134"/>
      <c r="E16" s="195"/>
      <c r="F16" s="197"/>
      <c r="G16" s="197"/>
      <c r="H16" s="197"/>
      <c r="I16" s="113"/>
      <c r="J16" s="109"/>
    </row>
    <row r="17" spans="1:10">
      <c r="A17" s="137"/>
      <c r="B17" s="137"/>
      <c r="C17" s="164"/>
      <c r="D17" s="137"/>
      <c r="E17" s="198"/>
      <c r="F17" s="199"/>
      <c r="G17" s="199"/>
      <c r="H17" s="199"/>
      <c r="I17" s="109"/>
      <c r="J17" s="109"/>
    </row>
    <row r="18" spans="1:10">
      <c r="A18" s="137"/>
      <c r="B18" s="137"/>
      <c r="C18" s="124"/>
      <c r="D18" s="137"/>
      <c r="E18" s="198"/>
      <c r="F18" s="199"/>
      <c r="G18" s="199"/>
      <c r="H18" s="199"/>
      <c r="I18" s="109"/>
      <c r="J18" s="109"/>
    </row>
    <row r="19" spans="1:10" ht="14" thickBot="1">
      <c r="A19" s="120"/>
      <c r="B19" s="120"/>
      <c r="C19" s="119"/>
      <c r="D19" s="134"/>
      <c r="E19" s="195"/>
      <c r="F19" s="197"/>
      <c r="G19" s="197"/>
      <c r="H19" s="197"/>
      <c r="I19" s="113"/>
      <c r="J19" s="109"/>
    </row>
    <row r="20" spans="1:10">
      <c r="A20" s="137"/>
      <c r="B20" s="137"/>
      <c r="C20" s="164"/>
      <c r="D20" s="137"/>
      <c r="E20" s="198"/>
      <c r="F20" s="199"/>
      <c r="G20" s="199"/>
      <c r="H20" s="199"/>
      <c r="I20" s="109"/>
      <c r="J20" s="109"/>
    </row>
    <row r="21" spans="1:10">
      <c r="A21" s="137"/>
      <c r="B21" s="137"/>
      <c r="C21" s="124"/>
      <c r="D21" s="137"/>
      <c r="E21" s="198"/>
      <c r="F21" s="199"/>
      <c r="G21" s="199"/>
      <c r="H21" s="199"/>
      <c r="I21" s="109"/>
      <c r="J21" s="109"/>
    </row>
    <row r="22" spans="1:10" ht="14" thickBot="1">
      <c r="A22" s="120"/>
      <c r="B22" s="120"/>
      <c r="C22" s="119"/>
      <c r="D22" s="134"/>
      <c r="E22" s="195"/>
      <c r="F22" s="197"/>
      <c r="G22" s="197"/>
      <c r="H22" s="197"/>
      <c r="I22" s="113"/>
      <c r="J22" s="109"/>
    </row>
    <row r="23" spans="1:10">
      <c r="A23" s="137"/>
      <c r="B23" s="137"/>
      <c r="C23" s="164"/>
      <c r="D23" s="137"/>
      <c r="E23" s="198"/>
      <c r="F23" s="199"/>
      <c r="G23" s="199"/>
      <c r="H23" s="199"/>
      <c r="I23" s="109"/>
      <c r="J23" s="109"/>
    </row>
    <row r="24" spans="1:10">
      <c r="A24" s="137"/>
      <c r="B24" s="137"/>
      <c r="C24" s="124"/>
      <c r="D24" s="137"/>
      <c r="E24" s="198"/>
      <c r="F24" s="199"/>
      <c r="G24" s="199"/>
      <c r="H24" s="199"/>
      <c r="I24" s="109"/>
      <c r="J24" s="109"/>
    </row>
    <row r="25" spans="1:10" ht="14" thickBot="1">
      <c r="A25" s="120"/>
      <c r="B25" s="120"/>
      <c r="C25" s="119"/>
      <c r="D25" s="134"/>
      <c r="E25" s="195"/>
      <c r="F25" s="197"/>
      <c r="G25" s="197"/>
      <c r="H25" s="197"/>
      <c r="I25" s="113"/>
      <c r="J25" s="109"/>
    </row>
    <row r="26" spans="1:10">
      <c r="A26" s="137"/>
      <c r="B26" s="137"/>
      <c r="C26" s="164"/>
      <c r="D26" s="137"/>
      <c r="E26" s="198"/>
      <c r="F26" s="199"/>
      <c r="G26" s="199"/>
      <c r="H26" s="199"/>
      <c r="I26" s="109"/>
      <c r="J26" s="109"/>
    </row>
    <row r="27" spans="1:10">
      <c r="A27" s="137"/>
      <c r="B27" s="137"/>
      <c r="C27" s="124"/>
      <c r="D27" s="137"/>
      <c r="E27" s="198"/>
      <c r="F27" s="199"/>
      <c r="G27" s="199"/>
      <c r="H27" s="199"/>
      <c r="I27" s="109"/>
      <c r="J27" s="109"/>
    </row>
    <row r="28" spans="1:10" ht="14" thickBot="1">
      <c r="A28" s="120"/>
      <c r="B28" s="120"/>
      <c r="C28" s="119"/>
      <c r="D28" s="134"/>
      <c r="E28" s="195"/>
      <c r="F28" s="197"/>
      <c r="G28" s="197"/>
      <c r="H28" s="197"/>
      <c r="I28" s="113"/>
      <c r="J28" s="109"/>
    </row>
    <row r="29" spans="1:10">
      <c r="A29" s="136"/>
      <c r="B29" s="125"/>
      <c r="C29" s="124"/>
      <c r="D29" s="137"/>
      <c r="E29" s="198"/>
      <c r="F29" s="199"/>
      <c r="G29" s="199"/>
      <c r="H29" s="199"/>
      <c r="I29" s="109"/>
      <c r="J29" s="109"/>
    </row>
    <row r="30" spans="1:10">
      <c r="A30" s="123"/>
      <c r="B30" s="125"/>
      <c r="C30" s="124"/>
      <c r="D30" s="137"/>
      <c r="E30" s="198"/>
      <c r="F30" s="199"/>
      <c r="G30" s="199"/>
      <c r="H30" s="199"/>
      <c r="I30" s="113"/>
      <c r="J30" s="109"/>
    </row>
    <row r="31" spans="1:10">
      <c r="A31" s="123"/>
      <c r="B31" s="125"/>
      <c r="C31" s="124"/>
      <c r="D31" s="125"/>
      <c r="E31" s="198"/>
      <c r="F31" s="199"/>
      <c r="G31" s="199"/>
      <c r="H31" s="199"/>
      <c r="I31" s="113"/>
      <c r="J31" s="109"/>
    </row>
    <row r="32" spans="1:10" ht="14" thickBot="1">
      <c r="A32" s="120"/>
      <c r="B32" s="120"/>
      <c r="C32" s="119"/>
      <c r="D32" s="126"/>
      <c r="E32" s="195"/>
      <c r="F32" s="197"/>
      <c r="G32" s="197"/>
      <c r="H32" s="197"/>
      <c r="I32" s="109"/>
      <c r="J32" s="109"/>
    </row>
    <row r="33" spans="1:10" ht="14" thickBot="1">
      <c r="A33" s="134" t="s">
        <v>143</v>
      </c>
      <c r="B33" s="120"/>
      <c r="C33" s="119"/>
      <c r="D33" s="126"/>
      <c r="E33" s="195"/>
      <c r="F33" s="197"/>
      <c r="G33" s="197"/>
      <c r="H33" s="197"/>
      <c r="I33" s="113"/>
      <c r="J33" s="109"/>
    </row>
    <row r="34" spans="1:10" ht="15" thickTop="1" thickBot="1">
      <c r="A34" s="128"/>
      <c r="B34" s="128"/>
      <c r="C34" s="129"/>
      <c r="D34" s="130" t="s">
        <v>3</v>
      </c>
      <c r="E34" s="200">
        <f>SUM(E7:E33)</f>
        <v>3.66</v>
      </c>
      <c r="F34" s="201">
        <f>SUM(F8:F33)</f>
        <v>12.7</v>
      </c>
      <c r="G34" s="201">
        <f>SUM(G8:G33)</f>
        <v>1.3</v>
      </c>
      <c r="H34" s="201">
        <f t="shared" ref="H34" si="1">E34+F34+G34</f>
        <v>17.66</v>
      </c>
      <c r="I34" s="131"/>
      <c r="J34" s="109"/>
    </row>
    <row r="35" spans="1:10" ht="15" thickTop="1" thickBot="1">
      <c r="A35" s="127"/>
      <c r="B35" s="127"/>
      <c r="C35" s="132"/>
      <c r="D35" s="130" t="s">
        <v>4</v>
      </c>
      <c r="E35" s="200"/>
      <c r="F35" s="201"/>
      <c r="G35" s="201"/>
      <c r="H35" s="201">
        <v>61</v>
      </c>
      <c r="I35" s="113"/>
      <c r="J35" s="109"/>
    </row>
    <row r="37" spans="1:10" ht="14" thickBot="1">
      <c r="D37" s="133" t="s">
        <v>5</v>
      </c>
      <c r="E37" s="133"/>
      <c r="F37" s="133"/>
    </row>
    <row r="38" spans="1:10">
      <c r="A38" s="111"/>
      <c r="B38" s="111"/>
      <c r="C38" s="112" t="s">
        <v>78</v>
      </c>
      <c r="D38" s="111"/>
      <c r="E38" s="178" t="s">
        <v>79</v>
      </c>
      <c r="F38" s="179" t="s">
        <v>80</v>
      </c>
      <c r="G38" s="179" t="s">
        <v>81</v>
      </c>
      <c r="H38" s="179" t="s">
        <v>82</v>
      </c>
      <c r="I38" s="113"/>
      <c r="J38" s="109"/>
    </row>
    <row r="39" spans="1:10">
      <c r="A39" s="114" t="s">
        <v>83</v>
      </c>
      <c r="B39" s="114" t="s">
        <v>84</v>
      </c>
      <c r="C39" s="114" t="s">
        <v>85</v>
      </c>
      <c r="D39" s="114" t="s">
        <v>86</v>
      </c>
      <c r="E39" s="180" t="s">
        <v>87</v>
      </c>
      <c r="F39" s="181" t="s">
        <v>88</v>
      </c>
      <c r="G39" s="181" t="s">
        <v>92</v>
      </c>
      <c r="H39" s="181" t="s">
        <v>92</v>
      </c>
      <c r="I39" s="113"/>
      <c r="J39" s="109"/>
    </row>
    <row r="40" spans="1:10" ht="14" thickBot="1">
      <c r="A40" s="115" t="s">
        <v>89</v>
      </c>
      <c r="B40" s="116" t="s">
        <v>90</v>
      </c>
      <c r="C40" s="115" t="s">
        <v>0</v>
      </c>
      <c r="D40" s="138" t="s">
        <v>1</v>
      </c>
      <c r="E40" s="182" t="s">
        <v>2</v>
      </c>
      <c r="F40" s="183" t="s">
        <v>2</v>
      </c>
      <c r="G40" s="183" t="s">
        <v>2</v>
      </c>
      <c r="H40" s="183" t="s">
        <v>2</v>
      </c>
      <c r="I40" s="113"/>
      <c r="J40" s="109"/>
    </row>
    <row r="41" spans="1:10">
      <c r="A41" s="123"/>
      <c r="B41" s="123"/>
      <c r="C41" s="124"/>
      <c r="D41" s="125"/>
      <c r="E41" s="176"/>
      <c r="F41" s="177"/>
      <c r="G41" s="177"/>
      <c r="H41" s="177"/>
      <c r="I41" s="109"/>
      <c r="J41" s="109"/>
    </row>
    <row r="42" spans="1:10">
      <c r="A42" s="123"/>
      <c r="B42" s="125"/>
      <c r="C42" s="124"/>
      <c r="D42" s="125"/>
      <c r="E42" s="176"/>
      <c r="F42" s="177"/>
      <c r="G42" s="177"/>
      <c r="H42" s="177"/>
      <c r="I42" s="113"/>
      <c r="J42" s="109"/>
    </row>
    <row r="43" spans="1:10" ht="14" thickBot="1">
      <c r="A43" s="120"/>
      <c r="B43" s="120"/>
      <c r="C43" s="119"/>
      <c r="D43" s="117"/>
      <c r="E43" s="175"/>
      <c r="F43" s="174"/>
      <c r="G43" s="174"/>
      <c r="H43" s="174"/>
      <c r="I43" s="113"/>
      <c r="J43" s="109"/>
    </row>
    <row r="44" spans="1:10">
      <c r="A44" s="123"/>
      <c r="B44" s="123"/>
      <c r="C44" s="124"/>
      <c r="D44" s="125"/>
      <c r="E44" s="176"/>
      <c r="F44" s="177"/>
      <c r="G44" s="177"/>
      <c r="H44" s="177"/>
      <c r="I44" s="109"/>
      <c r="J44" s="109"/>
    </row>
    <row r="45" spans="1:10">
      <c r="A45" s="123"/>
      <c r="B45" s="125"/>
      <c r="C45" s="124"/>
      <c r="D45" s="125"/>
      <c r="E45" s="176"/>
      <c r="F45" s="177"/>
      <c r="G45" s="177"/>
      <c r="H45" s="177"/>
      <c r="I45" s="113"/>
      <c r="J45" s="109"/>
    </row>
    <row r="46" spans="1:10" ht="14" thickBot="1">
      <c r="A46" s="120"/>
      <c r="B46" s="120"/>
      <c r="C46" s="119"/>
      <c r="D46" s="117"/>
      <c r="E46" s="175"/>
      <c r="F46" s="174"/>
      <c r="G46" s="174"/>
      <c r="H46" s="174"/>
      <c r="I46" s="113"/>
      <c r="J46" s="109"/>
    </row>
    <row r="47" spans="1:10">
      <c r="A47" s="123"/>
      <c r="B47" s="123"/>
      <c r="C47" s="124"/>
      <c r="D47" s="125"/>
      <c r="E47" s="176"/>
      <c r="F47" s="177"/>
      <c r="G47" s="177"/>
      <c r="H47" s="177"/>
      <c r="I47" s="109"/>
      <c r="J47" s="109"/>
    </row>
    <row r="48" spans="1:10">
      <c r="A48" s="123"/>
      <c r="B48" s="125"/>
      <c r="C48" s="124"/>
      <c r="D48" s="125"/>
      <c r="E48" s="176"/>
      <c r="F48" s="177"/>
      <c r="G48" s="177"/>
      <c r="H48" s="177"/>
      <c r="I48" s="113"/>
      <c r="J48" s="109"/>
    </row>
    <row r="49" spans="1:10" ht="14" thickBot="1">
      <c r="A49" s="120"/>
      <c r="B49" s="120"/>
      <c r="C49" s="119"/>
      <c r="D49" s="117"/>
      <c r="E49" s="175"/>
      <c r="F49" s="174"/>
      <c r="G49" s="174"/>
      <c r="H49" s="174"/>
      <c r="I49" s="113"/>
      <c r="J49" s="109"/>
    </row>
    <row r="50" spans="1:10">
      <c r="A50" s="123"/>
      <c r="B50" s="125"/>
      <c r="C50" s="124"/>
      <c r="D50" s="125"/>
      <c r="E50" s="176"/>
      <c r="F50" s="177"/>
      <c r="G50" s="177"/>
      <c r="H50" s="177"/>
      <c r="I50" s="109"/>
      <c r="J50" s="109"/>
    </row>
    <row r="51" spans="1:10">
      <c r="A51" s="123"/>
      <c r="B51" s="125"/>
      <c r="C51" s="124"/>
      <c r="D51" s="125"/>
      <c r="E51" s="176"/>
      <c r="F51" s="177"/>
      <c r="G51" s="177"/>
      <c r="H51" s="177"/>
      <c r="I51" s="113"/>
      <c r="J51" s="109"/>
    </row>
    <row r="52" spans="1:10" ht="14" thickBot="1">
      <c r="A52" s="120"/>
      <c r="B52" s="120"/>
      <c r="C52" s="119"/>
      <c r="D52" s="117"/>
      <c r="E52" s="175"/>
      <c r="F52" s="174"/>
      <c r="G52" s="174"/>
      <c r="H52" s="174"/>
      <c r="I52" s="113"/>
      <c r="J52" s="109"/>
    </row>
  </sheetData>
  <printOptions gridLines="1" gridLinesSet="0"/>
  <pageMargins left="0.75" right="0.75" top="1" bottom="1" header="0.5" footer="0.5"/>
  <pageSetup orientation="landscape" horizontalDpi="4294967292" verticalDpi="4294967292"/>
  <headerFooter>
    <oddHeader>&amp;F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Coring-Logging Time</vt:lpstr>
      <vt:lpstr>Transit Time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Engineering &amp; Operations</dc:creator>
  <cp:lastModifiedBy>Mitch Malone</cp:lastModifiedBy>
  <dcterms:created xsi:type="dcterms:W3CDTF">2004-02-06T21:28:16Z</dcterms:created>
  <dcterms:modified xsi:type="dcterms:W3CDTF">2016-09-09T16:21:17Z</dcterms:modified>
</cp:coreProperties>
</file>